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drawings/vmlDrawing2.vml" ContentType="application/vnd.openxmlformats-officedocument.vmlDrawing"/>
  <Override PartName="/xl/drawings/vmlDrawing1.vml" ContentType="application/vnd.openxmlformats-officedocument.vmlDrawing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Dados" sheetId="1" state="visible" r:id="rId2"/>
    <sheet name="Aux. Almoxarifado" sheetId="2" state="visible" r:id="rId3"/>
    <sheet name="Operador de Máquina Costal-Roçadeira" sheetId="3" state="visible" r:id="rId4"/>
    <sheet name="Vigia Diurno" sheetId="4" state="visible" r:id="rId5"/>
    <sheet name="Vigia Noturno" sheetId="5" state="visible" r:id="rId6"/>
    <sheet name="Uniformes" sheetId="6" state="visible" r:id="rId7"/>
    <sheet name="EPIs" sheetId="7" state="visible" r:id="rId8"/>
    <sheet name="Materiais" sheetId="8" state="visible" r:id="rId9"/>
    <sheet name="Equipamentos" sheetId="9" state="visible" r:id="rId10"/>
    <sheet name="Quadro Resumo" sheetId="10" state="visible" r:id="rId11"/>
    <sheet name="Conta Vinculada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08" authorId="0">
      <text>
        <r>
          <rPr>
            <sz val="10"/>
            <rFont val="Arial"/>
            <family val="2"/>
            <charset val="1"/>
          </rPr>
          <t xml:space="preserve">O intervalo intrajornada é pago diretamente ao empregado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10" authorId="0">
      <text>
        <r>
          <rPr>
            <sz val="10"/>
            <rFont val="Arial"/>
            <family val="2"/>
            <charset val="1"/>
          </rPr>
          <t xml:space="preserve">O intervalo intrajornada é pago diretamente ao empregado</t>
        </r>
      </text>
    </comment>
    <comment ref="G15" authorId="0">
      <text>
        <r>
          <rPr>
            <sz val="10"/>
            <rFont val="Arial"/>
            <family val="2"/>
            <charset val="1"/>
          </rPr>
          <t xml:space="preserve">Alíquota: incidência do adicional noturno sobre o valor da hora – 1 + alíquota do adicional noturno (0,20)</t>
        </r>
      </text>
    </comment>
    <comment ref="H14" authorId="0">
      <text>
        <r>
          <rPr>
            <sz val="6.4"/>
            <color rgb="FF3C3C3C"/>
            <rFont val="Ubuntu"/>
            <family val="0"/>
            <charset val="1"/>
          </rPr>
          <t xml:space="preserve">Fórmula: (Sal. Base + risco) * 58,33% * 20%  
( 7 das 12 horas trabalhadas é devido o pagamento do adicional noturno = 7/12 = 58,33%)</t>
        </r>
      </text>
    </comment>
    <comment ref="H15" authorId="0">
      <text>
        <r>
          <rPr>
            <sz val="10"/>
            <rFont val="Arial"/>
            <family val="2"/>
            <charset val="1"/>
          </rPr>
          <t xml:space="preserve">Proporção de 1/12 horas = 8,33%</t>
        </r>
      </text>
    </comment>
  </commentList>
</comments>
</file>

<file path=xl/sharedStrings.xml><?xml version="1.0" encoding="utf-8"?>
<sst xmlns="http://schemas.openxmlformats.org/spreadsheetml/2006/main" count="1217" uniqueCount="288">
  <si>
    <t xml:space="preserve"> PLANILHA DE CUSTOS E FORMAÇÃO DE PREÇOS</t>
  </si>
  <si>
    <t xml:space="preserve">Nº Processo :</t>
  </si>
  <si>
    <t xml:space="preserve">23422.012773/2018-03</t>
  </si>
  <si>
    <t xml:space="preserve">Licitação nº :</t>
  </si>
  <si>
    <t xml:space="preserve">Objeto:</t>
  </si>
  <si>
    <t xml:space="preserve">Contratação dos serviços de atividades auxiliares, jardinagem e serviços de vigia nas unidades da UNILA em Foz do Iguaçu/PR</t>
  </si>
  <si>
    <t xml:space="preserve">Dia ___ / ___ / ___   às ____ : ____ horas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</si>
  <si>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</si>
  <si>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</si>
  <si>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</si>
  <si>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</si>
  <si>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 / UF</t>
  </si>
  <si>
    <t xml:space="preserve">Foz do Iguaçu / PR</t>
  </si>
  <si>
    <t xml:space="preserve">C</t>
  </si>
  <si>
    <t xml:space="preserve">Ano do Acordo, Convenção ou Sentença Normativa em Dissídio Coletivo</t>
  </si>
  <si>
    <t xml:space="preserve">2019/2020</t>
  </si>
  <si>
    <t xml:space="preserve">D</t>
  </si>
  <si>
    <t xml:space="preserve">Número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</si>
  <si>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</si>
  <si>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</si>
  <si>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</si>
  <si>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</si>
  <si>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Auxiliar de Almoxarifado</t>
  </si>
  <si>
    <t xml:space="preserve">posto</t>
  </si>
  <si>
    <t xml:space="preserve">Operador de Máquina Costeira / Roçadeira</t>
  </si>
  <si>
    <t xml:space="preserve">Vigia Diurno</t>
  </si>
  <si>
    <t xml:space="preserve">Vigia Noturno</t>
  </si>
  <si>
    <t xml:space="preserve">TOTAL</t>
  </si>
  <si>
    <t xml:space="preserve">Mão de Obra vinculada à execução contratual</t>
  </si>
  <si>
    <t xml:space="preserve">Dados complementares para composição dos custos referentes à mão  de obra</t>
  </si>
  <si>
    <t xml:space="preserve">Tipo de serviço (mesmo serviço com características distintas)</t>
  </si>
  <si>
    <t xml:space="preserve">Vigia Diurno </t>
  </si>
  <si>
    <t xml:space="preserve">Salário Normativo da Categoria Profissional</t>
  </si>
  <si>
    <t xml:space="preserve">Categoria profissional (vinculada à execução contratual)</t>
  </si>
  <si>
    <t xml:space="preserve">SIEMACO</t>
  </si>
  <si>
    <t xml:space="preserve">Data base da categoria (dia/mês/ano)</t>
  </si>
  <si>
    <t xml:space="preserve">MÓDULO 1 – COMPOSIÇÃO DA REMUNERAÇÃO</t>
  </si>
  <si>
    <t xml:space="preserve">COMPOSIÇÃO DA REMUNERAÇÃO</t>
  </si>
  <si>
    <t xml:space="preserve">%</t>
  </si>
  <si>
    <t xml:space="preserve">VALOR (R$)</t>
  </si>
  <si>
    <t xml:space="preserve">Salário Base</t>
  </si>
  <si>
    <t xml:space="preserve">TOTAL DO MÓDULO 1</t>
  </si>
  <si>
    <t xml:space="preserve">MÓDULO 2 – ENCARGOS E BENEFÍCIOS ANUAIS, MENSAIS E DIÁRIOS</t>
  </si>
  <si>
    <t xml:space="preserve">Submódulo 2.1 - 13º Salário, Férias e Adicional de Férias</t>
  </si>
  <si>
    <t xml:space="preserve">13º (Décimo terceiro) Salário</t>
  </si>
  <si>
    <t xml:space="preserve">Férias e Adicional de férias</t>
  </si>
  <si>
    <t xml:space="preserve">TOTAL SUBMÓDULO 2.1</t>
  </si>
  <si>
    <t xml:space="preserve">Submódulo 2.2 - GPS, FGTS e Outras Contribuições</t>
  </si>
  <si>
    <t xml:space="preserve">INSS </t>
  </si>
  <si>
    <t xml:space="preserve">Salário Educação </t>
  </si>
  <si>
    <t xml:space="preserve">SAT (Seguro Acidente de Trabalho) = RAT x FAP</t>
  </si>
  <si>
    <t xml:space="preserve">RAT =</t>
  </si>
  <si>
    <t xml:space="preserve">FAP = </t>
  </si>
  <si>
    <t xml:space="preserve">RAT X FAP =</t>
  </si>
  <si>
    <t xml:space="preserve">SESC ou SESI</t>
  </si>
  <si>
    <t xml:space="preserve">E</t>
  </si>
  <si>
    <t xml:space="preserve">SENAI - SENAC </t>
  </si>
  <si>
    <t xml:space="preserve">F</t>
  </si>
  <si>
    <t xml:space="preserve">SEBRAE </t>
  </si>
  <si>
    <t xml:space="preserve">G</t>
  </si>
  <si>
    <t xml:space="preserve">INCRA </t>
  </si>
  <si>
    <t xml:space="preserve">H</t>
  </si>
  <si>
    <t xml:space="preserve">FGTS </t>
  </si>
  <si>
    <t xml:space="preserve">TOTAL SUBMÓDULO 2.2</t>
  </si>
  <si>
    <t xml:space="preserve">Submódulo 2.3 - Benefícios Mensais e Diários</t>
  </si>
  <si>
    <t xml:space="preserve">Transporte </t>
  </si>
  <si>
    <t xml:space="preserve">Quantidade diária</t>
  </si>
  <si>
    <t xml:space="preserve">Valor Unitário</t>
  </si>
  <si>
    <t xml:space="preserve">Auxílio-Refeição/Alimentação </t>
  </si>
  <si>
    <t xml:space="preserve">Assistência Médica e Familiar </t>
  </si>
  <si>
    <t xml:space="preserve">-</t>
  </si>
  <si>
    <t xml:space="preserve">Seguro de vida, invalidez e funeral</t>
  </si>
  <si>
    <t xml:space="preserve">Benefício Social Familiar</t>
  </si>
  <si>
    <t xml:space="preserve">Fundo de Formação e Qualificação Profissional</t>
  </si>
  <si>
    <t xml:space="preserve">TOTAL SUBMÓDULO 2.3</t>
  </si>
  <si>
    <t xml:space="preserve">QUADRO RESUMO DO MÓDULO 2 - ENCARGOS, BENEFÍCIOS ANUAIS, MENSAIS E DIÁRIOS</t>
  </si>
  <si>
    <t xml:space="preserve">Módulo 2 - Encargos, Benefícios Anuais, Mensais e Diários</t>
  </si>
  <si>
    <t xml:space="preserve">2.1</t>
  </si>
  <si>
    <t xml:space="preserve">13º Salário, Férias e Adicional de Férias</t>
  </si>
  <si>
    <t xml:space="preserve">2.2</t>
  </si>
  <si>
    <t xml:space="preserve">GPS, FGTS e Outras Contribuições</t>
  </si>
  <si>
    <t xml:space="preserve">2.3</t>
  </si>
  <si>
    <t xml:space="preserve">Benefícios Mensais e Diários</t>
  </si>
  <si>
    <t xml:space="preserve">TOTAL DO MÓDULO 2</t>
  </si>
  <si>
    <t xml:space="preserve">MÓDULO 3 – PROVISÃO PARA RESCISÃO</t>
  </si>
  <si>
    <t xml:space="preserve">Submódulo 3.1 – Custo do Aviso Prévio Indenizado</t>
  </si>
  <si>
    <t xml:space="preserve">Submódulo 3.1</t>
  </si>
  <si>
    <t xml:space="preserve">Aviso Prévio Indenizado</t>
  </si>
  <si>
    <t xml:space="preserve">Multa do FGTS e Contribuição Social sobre o Aviso Prévio Indenizado</t>
  </si>
  <si>
    <t xml:space="preserve">Custo do Aviso Prévio Indenizado</t>
  </si>
  <si>
    <t xml:space="preserve">TOTAL SUBMÓDULO 3.1</t>
  </si>
  <si>
    <t xml:space="preserve">Submódulo 3.2 – Custo do Aviso Prévio Trabalhado</t>
  </si>
  <si>
    <t xml:space="preserve">Aviso Prévio Trabalhado </t>
  </si>
  <si>
    <t xml:space="preserve">Multa do FGTS e Contribuição Social sobre o Aviso Prévio Trabalhado</t>
  </si>
  <si>
    <t xml:space="preserve">Custo do Aviso Prévio Trabalhado</t>
  </si>
  <si>
    <t xml:space="preserve">TOTAL SUBMÓDULO 3.2</t>
  </si>
  <si>
    <t xml:space="preserve">Submódulo 3.3 – Demissão com Justa Causa</t>
  </si>
  <si>
    <t xml:space="preserve">Valor do 13º Salário + Valor das Férias + Valor do Adicional de férias</t>
  </si>
  <si>
    <t xml:space="preserve">Custo da Demissão com Justa Causa</t>
  </si>
  <si>
    <t xml:space="preserve">TOTAL SUBMÓDULO 3.3</t>
  </si>
  <si>
    <t xml:space="preserve">QUADRO RESUMO DO MÓDULO 3 – PROVISÃO PARA RESCISÃO</t>
  </si>
  <si>
    <t xml:space="preserve">Módulo 3 – Provisão para rescisão</t>
  </si>
  <si>
    <t xml:space="preserve">3.1</t>
  </si>
  <si>
    <t xml:space="preserve">3.2</t>
  </si>
  <si>
    <t xml:space="preserve">3.3</t>
  </si>
  <si>
    <t xml:space="preserve">TOTAL DO MÓDULO 3</t>
  </si>
  <si>
    <t xml:space="preserve">MÓDULO 4 – CUSTO DE REPOSIÇÃO DO PROFISSIONAL AUSENTE</t>
  </si>
  <si>
    <t xml:space="preserve">Memória de Cálculo – Número de dias de reposição do profissional ausente</t>
  </si>
  <si>
    <t xml:space="preserve">Proporção de dias</t>
  </si>
  <si>
    <t xml:space="preserve">Dias de reposição</t>
  </si>
  <si>
    <t xml:space="preserve">Férias </t>
  </si>
  <si>
    <t xml:space="preserve">Ausência Justificada</t>
  </si>
  <si>
    <t xml:space="preserve">Acidente de trabalho</t>
  </si>
  <si>
    <t xml:space="preserve">Afastamento por doença</t>
  </si>
  <si>
    <t xml:space="preserve">Consulta médica por filho</t>
  </si>
  <si>
    <t xml:space="preserve">Óbitos na família</t>
  </si>
  <si>
    <t xml:space="preserve">Casamento</t>
  </si>
  <si>
    <t xml:space="preserve">Doação de sangue</t>
  </si>
  <si>
    <t xml:space="preserve">I</t>
  </si>
  <si>
    <t xml:space="preserve">Testemunho</t>
  </si>
  <si>
    <t xml:space="preserve">J</t>
  </si>
  <si>
    <t xml:space="preserve">Paternidade</t>
  </si>
  <si>
    <t xml:space="preserve">K</t>
  </si>
  <si>
    <t xml:space="preserve">Maternidade</t>
  </si>
  <si>
    <t xml:space="preserve">L</t>
  </si>
  <si>
    <t xml:space="preserve">Consulta pré-natal</t>
  </si>
  <si>
    <t xml:space="preserve">TOTAL DE DIAS PARA REPOSIÇÃO</t>
  </si>
  <si>
    <t xml:space="preserve">Custo Diário para o repositor</t>
  </si>
  <si>
    <t xml:space="preserve">Base de cálculo</t>
  </si>
  <si>
    <t xml:space="preserve">Divisor</t>
  </si>
  <si>
    <t xml:space="preserve">Custo Diário</t>
  </si>
  <si>
    <t xml:space="preserve">Submódulo 4.1 – Ausências Legais</t>
  </si>
  <si>
    <t xml:space="preserve">Categoria </t>
  </si>
  <si>
    <t xml:space="preserve">Custo anual</t>
  </si>
  <si>
    <t xml:space="preserve">TOTAL SUBMÓDULO 4.1</t>
  </si>
  <si>
    <t xml:space="preserve">QUADRO RESUMO DO MÓDULO 4 - CUSTO DE REPOSIÇÃO DO PROFISSIONAL AUSENTE</t>
  </si>
  <si>
    <t xml:space="preserve">Módulo 4 - Custo de Reposição do Profissional Ausente</t>
  </si>
  <si>
    <t xml:space="preserve">4.1</t>
  </si>
  <si>
    <t xml:space="preserve">Ausências Legais</t>
  </si>
  <si>
    <t xml:space="preserve">TOTAL DO MÓDULO 4</t>
  </si>
  <si>
    <t xml:space="preserve">MÓDULO 5 – INSUMOS DIVERSOS</t>
  </si>
  <si>
    <t xml:space="preserve">INSUMOS DIVERSOS</t>
  </si>
  <si>
    <t xml:space="preserve">Uniformes </t>
  </si>
  <si>
    <t xml:space="preserve">Equipamentos de Proteção Individual</t>
  </si>
  <si>
    <t xml:space="preserve">Materiais</t>
  </si>
  <si>
    <t xml:space="preserve">Depreciação de Equipamentos</t>
  </si>
  <si>
    <t xml:space="preserve">Outros (especificar)</t>
  </si>
  <si>
    <t xml:space="preserve">TOTAL DO MÓDULO 5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</si>
  <si>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</si>
  <si>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</si>
  <si>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</si>
  <si>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</si>
  <si>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</si>
  <si>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</si>
  <si>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PIS</t>
  </si>
  <si>
    <t xml:space="preserve">C.2</t>
  </si>
  <si>
    <t xml:space="preserve">COFINS</t>
  </si>
  <si>
    <t xml:space="preserve">C.3</t>
  </si>
  <si>
    <t xml:space="preserve">ISS</t>
  </si>
  <si>
    <t xml:space="preserve">TOTAL DO MÓDULO 6</t>
  </si>
  <si>
    <t xml:space="preserve">Mão de obra vinculada à execução contratual (valor por empregado)</t>
  </si>
  <si>
    <t xml:space="preserve">Subtotal (A + B + C + D + E)</t>
  </si>
  <si>
    <t xml:space="preserve">PREÇO TOTAL POR EMPREGADO</t>
  </si>
  <si>
    <t xml:space="preserve">Operador de Máquina</t>
  </si>
  <si>
    <t xml:space="preserve">Adicional de Férias</t>
  </si>
  <si>
    <t xml:space="preserve">Jardineiro</t>
  </si>
  <si>
    <t xml:space="preserve">Mão de Obra vinculada à execução contratual (valor por empregado)</t>
  </si>
  <si>
    <t xml:space="preserve">Vigia Diurno 12x36</t>
  </si>
  <si>
    <t xml:space="preserve">Adicional de Risco (Cláusula 11ª)</t>
  </si>
  <si>
    <r>
      <rPr>
        <sz val="11"/>
        <color rgb="FF000000"/>
        <rFont val="Calibri"/>
        <family val="2"/>
        <charset val="1"/>
      </rPr>
      <t xml:space="preserve">Intervalo Intrajornada (*)</t>
    </r>
    <r>
      <rPr>
        <sz val="8"/>
        <color rgb="FF000000"/>
        <rFont val="Calibri"/>
        <family val="2"/>
        <charset val="1"/>
      </rPr>
      <t xml:space="preserve"> (valor da hora + 50% de indenização)</t>
    </r>
  </si>
  <si>
    <t xml:space="preserve">TOTAL DA REMUNERAÇÃO</t>
  </si>
  <si>
    <t xml:space="preserve">(*) Verba de natureza indenizatória conforme Lei n°13.467, DE 13 DE JULHO DE 2017, Art. 71., § 4°, portanto, isenta de encargos sociais.</t>
  </si>
  <si>
    <t xml:space="preserve">Submódulo 4.1 - Ausências Legais</t>
  </si>
  <si>
    <t xml:space="preserve">Vigia 12 x 36 Diurno</t>
  </si>
  <si>
    <t xml:space="preserve">Submódulo 4.2 - Intrajornada</t>
  </si>
  <si>
    <t xml:space="preserve">Intervalo para Repouso ou Alimentação</t>
  </si>
  <si>
    <t xml:space="preserve">TOTAL SUBMÓDULO 4.2</t>
  </si>
  <si>
    <t xml:space="preserve">4.2</t>
  </si>
  <si>
    <t xml:space="preserve">Intrajornada</t>
  </si>
  <si>
    <t xml:space="preserve">QUADRO RESUMO DO CUSTO POR EMPREGADO</t>
  </si>
  <si>
    <t xml:space="preserve">PREÇO TOTAL POR POSTO (2 EMPREGADOS)</t>
  </si>
  <si>
    <t xml:space="preserve">Vigia Noturno 12x36</t>
  </si>
  <si>
    <t xml:space="preserve">Adicional Noturno</t>
  </si>
  <si>
    <r>
      <rPr>
        <sz val="11"/>
        <color rgb="FF000000"/>
        <rFont val="Calibri"/>
        <family val="2"/>
        <charset val="1"/>
      </rPr>
      <t xml:space="preserve">Hora noturna reduzida </t>
    </r>
    <r>
      <rPr>
        <sz val="9"/>
        <color rgb="FF000000"/>
        <rFont val="Calibri"/>
        <family val="2"/>
        <charset val="1"/>
      </rPr>
      <t xml:space="preserve">(paga-se uma hora a mais)</t>
    </r>
  </si>
  <si>
    <t xml:space="preserve">Nota: o valor informado deverá ser o custo real do insumo (descontado o valor eventualmente pago pelo empregado).</t>
  </si>
  <si>
    <t xml:space="preserve">Vigia 12 x 36 Noturno</t>
  </si>
  <si>
    <t xml:space="preserve">PREÇO TOTAL POR POSTO</t>
  </si>
  <si>
    <t xml:space="preserve">DETALHAMENTO DA COMPOSIÇÃO DOS CUSTOS DE UNIFORMES</t>
  </si>
  <si>
    <t xml:space="preserve">AUXILIAR DE ALMOXARIFADO</t>
  </si>
  <si>
    <t xml:space="preserve">Item</t>
  </si>
  <si>
    <t xml:space="preserve">Descrição</t>
  </si>
  <si>
    <t xml:space="preserve">Unidade</t>
  </si>
  <si>
    <t xml:space="preserve">Quantidade anual</t>
  </si>
  <si>
    <t xml:space="preserve">Custo unitário</t>
  </si>
  <si>
    <t xml:space="preserve">Custo total</t>
  </si>
  <si>
    <t xml:space="preserve">Calça de Brim Operacional</t>
  </si>
  <si>
    <t xml:space="preserve">UN</t>
  </si>
  <si>
    <t xml:space="preserve">Camiseta manga curta 100% algodão</t>
  </si>
  <si>
    <t xml:space="preserve">Camiseta manga longa 100% algodão</t>
  </si>
  <si>
    <t xml:space="preserve">Calçado de segurança</t>
  </si>
  <si>
    <t xml:space="preserve">Suéter ou blusa de frio</t>
  </si>
  <si>
    <t xml:space="preserve">Jaqueta / Casaco forrado</t>
  </si>
  <si>
    <t xml:space="preserve">Boné touca árabe</t>
  </si>
  <si>
    <t xml:space="preserve">Valor anual total</t>
  </si>
  <si>
    <t xml:space="preserve">Valor mensal por funcionário</t>
  </si>
  <si>
    <t xml:space="preserve">OPERADOR DE MÁQUINA COSTEIRA/ROÇADEIRA</t>
  </si>
  <si>
    <t xml:space="preserve">VIGIA DIURNO / NOTURNO</t>
  </si>
  <si>
    <t xml:space="preserve">Camiseta manga curta</t>
  </si>
  <si>
    <t xml:space="preserve">Camiseta manga longa</t>
  </si>
  <si>
    <t xml:space="preserve">Boné</t>
  </si>
  <si>
    <t xml:space="preserve">Cinto social</t>
  </si>
  <si>
    <t xml:space="preserve">DETALHAMENTO DA COMPOSIÇÃO DOS CUSTOS DE EPIs</t>
  </si>
  <si>
    <t xml:space="preserve">Luva de Pano Pigmentada</t>
  </si>
  <si>
    <t xml:space="preserve">Luva de Vaqueta</t>
  </si>
  <si>
    <t xml:space="preserve">Luva Nitrílica</t>
  </si>
  <si>
    <t xml:space="preserve">Capa de chuva</t>
  </si>
  <si>
    <t xml:space="preserve">Óculos de proteção claro</t>
  </si>
  <si>
    <t xml:space="preserve">Óculos de proteção escuro</t>
  </si>
  <si>
    <t xml:space="preserve">Protetor auricular</t>
  </si>
  <si>
    <t xml:space="preserve">Abafador tipo concha</t>
  </si>
  <si>
    <t xml:space="preserve">Calçado tipo bota PVC, cano longo</t>
  </si>
  <si>
    <t xml:space="preserve">Máscara de Proteção PFF2</t>
  </si>
  <si>
    <t xml:space="preserve">Protetor facial</t>
  </si>
  <si>
    <t xml:space="preserve">Perneira de Proteção</t>
  </si>
  <si>
    <t xml:space="preserve">Protetor solar FPS 30</t>
  </si>
  <si>
    <t xml:space="preserve">Avental de segurança confeccionado em couro de raspa</t>
  </si>
  <si>
    <t xml:space="preserve">Bota de borracha PVC, com certificação emitido pelo MTE</t>
  </si>
  <si>
    <t xml:space="preserve">Colete Refletivo</t>
  </si>
  <si>
    <t xml:space="preserve">Protetor solar FPS 30 (4 un. por posto de trabalho)</t>
  </si>
  <si>
    <t xml:space="preserve">Óculos de Proteção UVA/UVB, com certificado emitido pelo MTE</t>
  </si>
  <si>
    <t xml:space="preserve">Quantidade mensal</t>
  </si>
  <si>
    <t xml:space="preserve">Gasolina comum</t>
  </si>
  <si>
    <t xml:space="preserve">Litros</t>
  </si>
  <si>
    <t xml:space="preserve">Óleo dois tempos para mistura roçadeira</t>
  </si>
  <si>
    <t xml:space="preserve">Fio nylon nº 2.7 (50 metros)</t>
  </si>
  <si>
    <t xml:space="preserve">Metros</t>
  </si>
  <si>
    <t xml:space="preserve">Sacos de lixo reforçado 150 litros  (pacote com 50 unidades)</t>
  </si>
  <si>
    <t xml:space="preserve">pacote</t>
  </si>
  <si>
    <t xml:space="preserve">Valor mensal total</t>
  </si>
  <si>
    <t xml:space="preserve">Quantidade de postos</t>
  </si>
  <si>
    <t xml:space="preserve">Livro Ata ou similar, páginas numeradas, capa dura, mínimo 100 folhas</t>
  </si>
  <si>
    <t xml:space="preserve">DETALHAMENTO DA COMPOSIÇÃO DOS CUSTOS DA DEPRECIAÇÃO DE EQUIPAMENTOS</t>
  </si>
  <si>
    <t xml:space="preserve">Valor total</t>
  </si>
  <si>
    <t xml:space="preserve">Valor residual
              % H                    R$ (I)</t>
  </si>
  <si>
    <t xml:space="preserve">Prazo de vida útil (meses)</t>
  </si>
  <si>
    <t xml:space="preserve">Motopoda a gasolina, com licença de porte e uso fornecido pelo IBAMA</t>
  </si>
  <si>
    <t xml:space="preserve">Roçadeira com motor 02 tempos, com carretel de nylon e lâmina 3 pontas</t>
  </si>
  <si>
    <t xml:space="preserve">Facão Terçado</t>
  </si>
  <si>
    <t xml:space="preserve">Serrote para poda</t>
  </si>
  <si>
    <t xml:space="preserve">Enxada</t>
  </si>
  <si>
    <t xml:space="preserve">Vassoura plástica para recolher folhas e gramas</t>
  </si>
  <si>
    <t xml:space="preserve">Carrinhos 4 rodas para recolhimento de folhas</t>
  </si>
  <si>
    <t xml:space="preserve">Lima para enxada e facão 8”</t>
  </si>
  <si>
    <t xml:space="preserve">Quantidade 
P/ Posto</t>
  </si>
  <si>
    <t xml:space="preserve">Lanterna Portátil (1 unidade por posto)</t>
  </si>
  <si>
    <r>
      <rPr>
        <sz val="11"/>
        <color rgb="FF00000A"/>
        <rFont val="Calibri"/>
        <family val="2"/>
        <charset val="1"/>
      </rPr>
      <t xml:space="preserve">Rádio Comunicador portátil, tipo </t>
    </r>
    <r>
      <rPr>
        <i val="true"/>
        <sz val="11"/>
        <color rgb="FF00000A"/>
        <rFont val="Calibri"/>
        <family val="2"/>
        <charset val="1"/>
      </rPr>
      <t xml:space="preserve">Walkie-Talkie </t>
    </r>
    <r>
      <rPr>
        <sz val="11"/>
        <color rgb="FF00000A"/>
        <rFont val="Calibri"/>
        <family val="2"/>
        <charset val="1"/>
      </rPr>
      <t xml:space="preserve">(1 unidade por posto)</t>
    </r>
  </si>
  <si>
    <t xml:space="preserve">Bastão Eletrônico portátil para controle de ronda (1 unidade por posto)</t>
  </si>
  <si>
    <t xml:space="preserve">Quantidade de funcionário por posto</t>
  </si>
  <si>
    <t xml:space="preserve">Valor mensal por funcionário (depreciação)</t>
  </si>
  <si>
    <t xml:space="preserve">QUADRO RESUMO</t>
  </si>
  <si>
    <t xml:space="preserve">GRUPO 01</t>
  </si>
  <si>
    <t xml:space="preserve">ITEM</t>
  </si>
  <si>
    <t xml:space="preserve">Tipo de Serviço (A)</t>
  </si>
  <si>
    <t xml:space="preserve">Valor proposto por empregado (B)</t>
  </si>
  <si>
    <t xml:space="preserve">Quantidade de empregados por posto (C)</t>
  </si>
  <si>
    <t xml:space="preserve">Valor proposto por posto (D) = (B x C)</t>
  </si>
  <si>
    <t xml:space="preserve">Quantidade de Postos (E)</t>
  </si>
  <si>
    <t xml:space="preserve">Valor total do serviço (F) = (D x E)</t>
  </si>
  <si>
    <t xml:space="preserve">Valor Mensal dos Serviços:</t>
  </si>
  <si>
    <t xml:space="preserve">Valor global da proposta (valor mensal do serviço x nº de meses do contrato)</t>
  </si>
  <si>
    <t xml:space="preserve">RESERVA MENSAL PARA O PAGAMENTO DE ENCARGOS TRABALHISTAS -  PERCENTUAIS INCIDENTES SOBRE A REMUNERAÇÃO</t>
  </si>
  <si>
    <t xml:space="preserve">13º (décimo terceiro) salário</t>
  </si>
  <si>
    <t xml:space="preserve">8,33% (oito vírgula trinta e três por cento)</t>
  </si>
  <si>
    <t xml:space="preserve">Férias e 1/3 Constitucional</t>
  </si>
  <si>
    <t xml:space="preserve">12,10% (doze vírgula dez por cento)</t>
  </si>
  <si>
    <t xml:space="preserve">Multa sobre FGTS e contribuição social sobre o aviso prévio indenizado e sobre o aviso prévio trabalhado</t>
  </si>
  <si>
    <t xml:space="preserve">5,00 % (cinco por cento)</t>
  </si>
  <si>
    <t xml:space="preserve">Subtotal</t>
  </si>
  <si>
    <t xml:space="preserve">25,43% (vinte e cinco vírgula quarenta e três por cento)</t>
  </si>
  <si>
    <t xml:space="preserve">Incidência do Submódulo 2.2 sobre férias, um terço constitucional de férias e 13º (décimo terceiro) salário*</t>
  </si>
  <si>
    <t xml:space="preserve">7,39% (sete vírgula trinta e nove por cento)</t>
  </si>
  <si>
    <t xml:space="preserve">7,6% (sete vírgula seis por cento)</t>
  </si>
  <si>
    <t xml:space="preserve">7,82% (sete vírgula oitenta e dois por cento)</t>
  </si>
  <si>
    <t xml:space="preserve">Total</t>
  </si>
  <si>
    <t xml:space="preserve">32,82% (trinta e dois vírgula oitenta e dois por cento)</t>
  </si>
  <si>
    <t xml:space="preserve">33,03% (trinta e três vírgula zero três por cento)</t>
  </si>
  <si>
    <t xml:space="preserve">33,25% (trinta e três vírgula vinte e cinco por cento)</t>
  </si>
  <si>
    <t xml:space="preserve">* Considerando as alíquotas de contribuição de 1% (um por cento), 2% (dois por cento) ou 3% (três por cento) referentes ao grau de risco de acidente do trabalho, previstas no art. 22, inciso II, da Lei no 8.212, de 24 de julho de 1991.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</si>
</sst>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DD/MM/YY"/>
    <numFmt numFmtId="166" formatCode="[$R$-416]\ #,##0.00;[RED]\-[$R$-416]\ #,##0.00"/>
    <numFmt numFmtId="167" formatCode="0.00%"/>
    <numFmt numFmtId="168" formatCode="* #,##0.00\ ;\-* #,##0.00\ ;* \-#\ ;@\ "/>
    <numFmt numFmtId="169" formatCode="0.00"/>
    <numFmt numFmtId="170" formatCode="0.000"/>
    <numFmt numFmtId="171" formatCode="0.0000"/>
    <numFmt numFmtId="172" formatCode="&quot; R$ &quot;* #,##0.00\ ;&quot; R$ &quot;* \(#,##0.00\);&quot; R$ &quot;* \-#\ ;@\ "/>
    <numFmt numFmtId="173" formatCode="0%"/>
  </numFmts>
  <fonts count="2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libri"/>
      <family val="2"/>
      <charset val="1"/>
    </font>
    <font>
      <b val="true"/>
      <u val="single"/>
      <sz val="12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0"/>
      <name val="Calibri"/>
      <family val="2"/>
      <charset val="1"/>
    </font>
    <font>
      <sz val="9.5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9.5"/>
      <color rgb="FFFF0000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9.5"/>
      <name val="Calibri"/>
      <family val="2"/>
      <charset val="1"/>
    </font>
    <font>
      <b val="true"/>
      <sz val="1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9"/>
      <color rgb="FF000000"/>
      <name val="Calibri"/>
      <family val="2"/>
      <charset val="1"/>
    </font>
    <font>
      <sz val="6.4"/>
      <color rgb="FF3C3C3C"/>
      <name val="Ubuntu"/>
      <family val="0"/>
      <charset val="1"/>
    </font>
    <font>
      <b val="true"/>
      <sz val="11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i val="true"/>
      <sz val="11"/>
      <color rgb="FF00000A"/>
      <name val="Calibri"/>
      <family val="2"/>
      <charset val="1"/>
    </font>
    <font>
      <b val="true"/>
      <i val="true"/>
      <u val="single"/>
      <sz val="12"/>
      <name val="Calibri"/>
      <family val="2"/>
      <charset val="1"/>
    </font>
    <font>
      <b val="true"/>
      <i val="true"/>
      <sz val="12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999999"/>
        <bgColor rgb="FF808080"/>
      </patternFill>
    </fill>
    <fill>
      <patternFill patternType="solid">
        <fgColor rgb="FFCCCCCC"/>
        <bgColor rgb="FFC0C0C0"/>
      </patternFill>
    </fill>
    <fill>
      <patternFill patternType="solid">
        <fgColor rgb="FFE6E6E6"/>
        <bgColor rgb="FFD9D9D9"/>
      </patternFill>
    </fill>
    <fill>
      <patternFill patternType="solid">
        <fgColor rgb="FFB3B3B3"/>
        <bgColor rgb="FFB2B2B2"/>
      </patternFill>
    </fill>
    <fill>
      <patternFill patternType="solid">
        <fgColor rgb="FFFFFFFF"/>
        <bgColor rgb="FFE6E6E6"/>
      </patternFill>
    </fill>
    <fill>
      <patternFill patternType="solid">
        <fgColor rgb="FFB2B2B2"/>
        <bgColor rgb="FFB3B3B3"/>
      </patternFill>
    </fill>
    <fill>
      <patternFill patternType="solid">
        <fgColor rgb="FFC0C0C0"/>
        <bgColor rgb="FFCCCCCC"/>
      </patternFill>
    </fill>
    <fill>
      <patternFill patternType="solid">
        <fgColor rgb="FFFFF200"/>
        <bgColor rgb="FFFFFF00"/>
      </patternFill>
    </fill>
    <fill>
      <patternFill patternType="solid">
        <fgColor rgb="FFD9D9D9"/>
        <bgColor rgb="FFE6E6E6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hair"/>
      <right style="hair"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8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8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3" fillId="9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3" fillId="9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1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6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6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3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4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6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3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6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3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23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3" fillId="9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22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6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5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2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2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1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2" fillId="0" borderId="9" xfId="0" applyFont="true" applyBorder="true" applyAlignment="true" applyProtection="false">
      <alignment horizontal="justify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B2B2B2"/>
      <rgbColor rgb="FF993366"/>
      <rgbColor rgb="FFE6E6E6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B3B3B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1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4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81" zoomScalePageLayoutView="100" workbookViewId="0">
      <selection pane="topLeft" activeCell="B21" activeCellId="0" sqref="B21"/>
    </sheetView>
  </sheetViews>
  <sheetFormatPr defaultRowHeight="15" zeroHeight="false" outlineLevelRow="0" outlineLevelCol="0"/>
  <cols>
    <col collapsed="false" customWidth="true" hidden="false" outlineLevel="0" max="1" min="1" style="1" width="4.86"/>
    <col collapsed="false" customWidth="false" hidden="false" outlineLevel="0" max="5" min="2" style="1" width="11.52"/>
    <col collapsed="false" customWidth="true" hidden="false" outlineLevel="0" max="6" min="6" style="1" width="14.21"/>
    <col collapsed="false" customWidth="false" hidden="false" outlineLevel="0" max="7" min="7" style="1" width="11.52"/>
    <col collapsed="false" customWidth="true" hidden="false" outlineLevel="0" max="8" min="8" style="1" width="25.28"/>
    <col collapsed="false" customWidth="false" hidden="false" outlineLevel="0" max="1025" min="9" style="1" width="11.52"/>
  </cols>
  <sheetData>
    <row r="1" customFormat="false" ht="15" hidden="false" customHeight="false" outlineLevel="0" collapsed="false">
      <c r="A1" s="2"/>
      <c r="B1" s="3"/>
      <c r="C1" s="2"/>
      <c r="D1" s="2"/>
      <c r="E1" s="2"/>
      <c r="F1" s="2"/>
      <c r="G1" s="2"/>
      <c r="H1" s="2"/>
    </row>
    <row r="2" customFormat="false" ht="15" hidden="false" customHeight="false" outlineLevel="0" collapsed="false">
      <c r="A2" s="2"/>
      <c r="B2" s="4" t="s">
        <v>0</v>
      </c>
      <c r="C2" s="4"/>
      <c r="D2" s="4"/>
      <c r="E2" s="4"/>
      <c r="F2" s="4"/>
      <c r="G2" s="4"/>
      <c r="H2" s="4"/>
    </row>
    <row r="3" customFormat="false" ht="25.5" hidden="false" customHeight="true" outlineLevel="0" collapsed="false">
      <c r="A3" s="2"/>
      <c r="B3" s="3"/>
      <c r="C3" s="2"/>
      <c r="D3" s="2"/>
      <c r="E3" s="2"/>
      <c r="F3" s="2"/>
      <c r="G3" s="2"/>
      <c r="H3" s="2"/>
    </row>
    <row r="4" customFormat="false" ht="22.65" hidden="false" customHeight="true" outlineLevel="0" collapsed="false">
      <c r="A4" s="2"/>
      <c r="B4" s="5" t="s">
        <v>1</v>
      </c>
      <c r="C4" s="5"/>
      <c r="D4" s="6" t="s">
        <v>2</v>
      </c>
      <c r="E4" s="6"/>
      <c r="F4" s="6"/>
      <c r="G4" s="6"/>
      <c r="H4" s="6"/>
    </row>
    <row r="5" customFormat="false" ht="22.65" hidden="false" customHeight="true" outlineLevel="0" collapsed="false">
      <c r="A5" s="2"/>
      <c r="B5" s="5" t="s">
        <v>3</v>
      </c>
      <c r="C5" s="5"/>
      <c r="D5" s="6"/>
      <c r="E5" s="6"/>
      <c r="F5" s="6"/>
      <c r="G5" s="6"/>
      <c r="H5" s="6"/>
    </row>
    <row r="6" customFormat="false" ht="28.75" hidden="false" customHeight="true" outlineLevel="0" collapsed="false">
      <c r="A6" s="2"/>
      <c r="B6" s="5" t="s">
        <v>4</v>
      </c>
      <c r="C6" s="5"/>
      <c r="D6" s="7" t="s">
        <v>5</v>
      </c>
      <c r="E6" s="7"/>
      <c r="F6" s="7"/>
      <c r="G6" s="7"/>
      <c r="H6" s="7"/>
    </row>
    <row r="7" customFormat="false" ht="22.65" hidden="false" customHeight="true" outlineLevel="0" collapsed="false">
      <c r="A7" s="2"/>
      <c r="B7" s="6" t="s">
        <v>6</v>
      </c>
      <c r="C7" s="6"/>
      <c r="D7" s="6"/>
      <c r="E7" s="6"/>
      <c r="F7" s="6"/>
      <c r="G7" s="6"/>
      <c r="H7" s="6"/>
    </row>
    <row r="8" customFormat="false" ht="25.5" hidden="false" customHeight="true" outlineLevel="0" collapsed="false">
      <c r="A8" s="2"/>
      <c r="B8" s="3"/>
      <c r="C8" s="2"/>
      <c r="D8" s="2"/>
      <c r="E8" s="2"/>
      <c r="F8" s="2"/>
      <c r="G8" s="2"/>
      <c r="H8" s="2"/>
    </row>
    <row r="9" customFormat="false" ht="22.65" hidden="false" customHeight="true" outlineLevel="0" collapsed="false">
      <c r="A9" s="2"/>
      <c r="B9" s="8" t="s">
        <v>7</v>
      </c>
      <c r="C9" s="8"/>
      <c r="D9" s="8"/>
      <c r="E9" s="8"/>
      <c r="F9" s="8"/>
      <c r="G9" s="8"/>
      <c r="H9" s="8"/>
    </row>
    <row r="10" customFormat="false" ht="25.5" hidden="false" customHeight="true" outlineLevel="0" collapsed="false">
      <c r="A10" s="2"/>
      <c r="B10" s="3"/>
      <c r="C10" s="2"/>
      <c r="D10" s="2"/>
      <c r="E10" s="2"/>
      <c r="F10" s="2"/>
      <c r="G10" s="2"/>
      <c r="H10" s="2"/>
    </row>
    <row r="11" customFormat="false" ht="30.5" hidden="false" customHeight="true" outlineLevel="0" collapsed="false">
      <c r="A11" s="2"/>
      <c r="B11" s="9" t="s">
        <v>8</v>
      </c>
      <c r="C11" s="10" t="s">
        <v>9</v>
      </c>
      <c r="D11" s="10"/>
      <c r="E11" s="10"/>
      <c r="F11" s="10"/>
      <c r="G11" s="11"/>
      <c r="H11" s="11"/>
    </row>
    <row r="12" customFormat="false" ht="30.5" hidden="false" customHeight="true" outlineLevel="0" collapsed="false">
      <c r="A12" s="2"/>
      <c r="B12" s="9" t="s">
        <v>10</v>
      </c>
      <c r="C12" s="10" t="s">
        <v>11</v>
      </c>
      <c r="D12" s="10"/>
      <c r="E12" s="10"/>
      <c r="F12" s="10"/>
      <c r="G12" s="12" t="s">
        <v>12</v>
      </c>
      <c r="H12" s="12"/>
    </row>
    <row r="13" customFormat="false" ht="30.5" hidden="false" customHeight="true" outlineLevel="0" collapsed="false">
      <c r="A13" s="2"/>
      <c r="B13" s="9" t="s">
        <v>13</v>
      </c>
      <c r="C13" s="10" t="s">
        <v>14</v>
      </c>
      <c r="D13" s="10"/>
      <c r="E13" s="10"/>
      <c r="F13" s="10"/>
      <c r="G13" s="12" t="s">
        <v>15</v>
      </c>
      <c r="H13" s="12"/>
    </row>
    <row r="14" customFormat="false" ht="30.5" hidden="false" customHeight="true" outlineLevel="0" collapsed="false">
      <c r="A14" s="2"/>
      <c r="B14" s="9" t="s">
        <v>16</v>
      </c>
      <c r="C14" s="10" t="s">
        <v>17</v>
      </c>
      <c r="D14" s="10"/>
      <c r="E14" s="10"/>
      <c r="F14" s="10"/>
      <c r="G14" s="12" t="n">
        <v>12</v>
      </c>
      <c r="H14" s="12"/>
    </row>
    <row r="15" customFormat="false" ht="25.25" hidden="false" customHeight="true" outlineLevel="0" collapsed="false">
      <c r="A15" s="2"/>
      <c r="B15" s="13"/>
      <c r="C15" s="13"/>
      <c r="D15" s="13"/>
      <c r="E15" s="13"/>
      <c r="F15" s="13"/>
      <c r="G15" s="2"/>
      <c r="H15" s="2"/>
    </row>
    <row r="16" customFormat="false" ht="25.25" hidden="false" customHeight="true" outlineLevel="0" collapsed="false">
      <c r="A16" s="2"/>
      <c r="B16" s="9" t="s">
        <v>18</v>
      </c>
      <c r="C16" s="9"/>
      <c r="D16" s="9"/>
      <c r="E16" s="9"/>
      <c r="F16" s="9"/>
      <c r="G16" s="9"/>
      <c r="H16" s="9"/>
    </row>
    <row r="17" customFormat="false" ht="25.25" hidden="false" customHeight="true" outlineLevel="0" collapsed="false">
      <c r="A17" s="2"/>
      <c r="B17" s="13"/>
      <c r="C17" s="13"/>
      <c r="D17" s="13"/>
      <c r="E17" s="13"/>
      <c r="F17" s="13"/>
      <c r="G17" s="2"/>
      <c r="H17" s="2"/>
    </row>
    <row r="18" customFormat="false" ht="40.5" hidden="false" customHeight="true" outlineLevel="0" collapsed="false">
      <c r="A18" s="2"/>
      <c r="B18" s="14" t="s">
        <v>19</v>
      </c>
      <c r="C18" s="14"/>
      <c r="D18" s="14"/>
      <c r="E18" s="14"/>
      <c r="F18" s="14" t="s">
        <v>20</v>
      </c>
      <c r="G18" s="14" t="s">
        <v>21</v>
      </c>
      <c r="H18" s="14"/>
    </row>
    <row r="19" customFormat="false" ht="27.9" hidden="false" customHeight="true" outlineLevel="0" collapsed="false">
      <c r="A19" s="2"/>
      <c r="B19" s="15" t="s">
        <v>22</v>
      </c>
      <c r="C19" s="15"/>
      <c r="D19" s="15"/>
      <c r="E19" s="15"/>
      <c r="F19" s="16" t="s">
        <v>23</v>
      </c>
      <c r="G19" s="16" t="n">
        <v>4</v>
      </c>
      <c r="H19" s="16"/>
    </row>
    <row r="20" customFormat="false" ht="27.9" hidden="false" customHeight="true" outlineLevel="0" collapsed="false">
      <c r="A20" s="2"/>
      <c r="B20" s="15" t="s">
        <v>24</v>
      </c>
      <c r="C20" s="15"/>
      <c r="D20" s="15"/>
      <c r="E20" s="15"/>
      <c r="F20" s="16" t="s">
        <v>23</v>
      </c>
      <c r="G20" s="16" t="n">
        <v>2</v>
      </c>
      <c r="H20" s="16"/>
    </row>
    <row r="21" customFormat="false" ht="27.9" hidden="false" customHeight="true" outlineLevel="0" collapsed="false">
      <c r="A21" s="2"/>
      <c r="B21" s="15" t="s">
        <v>25</v>
      </c>
      <c r="C21" s="15"/>
      <c r="D21" s="15"/>
      <c r="E21" s="15"/>
      <c r="F21" s="16" t="s">
        <v>23</v>
      </c>
      <c r="G21" s="16" t="n">
        <v>4</v>
      </c>
      <c r="H21" s="16"/>
    </row>
    <row r="22" customFormat="false" ht="27.9" hidden="false" customHeight="true" outlineLevel="0" collapsed="false">
      <c r="A22" s="2"/>
      <c r="B22" s="15" t="s">
        <v>26</v>
      </c>
      <c r="C22" s="15"/>
      <c r="D22" s="15"/>
      <c r="E22" s="15"/>
      <c r="F22" s="16" t="s">
        <v>23</v>
      </c>
      <c r="G22" s="16" t="n">
        <v>4</v>
      </c>
      <c r="H22" s="16"/>
    </row>
    <row r="23" customFormat="false" ht="27.9" hidden="false" customHeight="true" outlineLevel="0" collapsed="false">
      <c r="A23" s="2"/>
      <c r="B23" s="14" t="s">
        <v>27</v>
      </c>
      <c r="C23" s="14"/>
      <c r="D23" s="14"/>
      <c r="E23" s="14"/>
      <c r="F23" s="14"/>
      <c r="G23" s="17" t="n">
        <f aca="false">SUM(G19:G22)</f>
        <v>14</v>
      </c>
      <c r="H23" s="17"/>
    </row>
    <row r="24" customFormat="false" ht="15" hidden="false" customHeight="false" outlineLevel="0" collapsed="false">
      <c r="A24" s="2"/>
      <c r="B24" s="18"/>
      <c r="C24" s="18"/>
      <c r="D24" s="18"/>
      <c r="E24" s="18"/>
      <c r="F24" s="18"/>
      <c r="G24" s="19"/>
      <c r="H24" s="19"/>
    </row>
  </sheetData>
  <mergeCells count="30">
    <mergeCell ref="B2:H2"/>
    <mergeCell ref="B4:C4"/>
    <mergeCell ref="D4:H4"/>
    <mergeCell ref="B5:C5"/>
    <mergeCell ref="D5:H5"/>
    <mergeCell ref="B6:C6"/>
    <mergeCell ref="D6:H6"/>
    <mergeCell ref="B7:H7"/>
    <mergeCell ref="B9:H9"/>
    <mergeCell ref="C11:F11"/>
    <mergeCell ref="G11:H11"/>
    <mergeCell ref="C12:F12"/>
    <mergeCell ref="G12:H12"/>
    <mergeCell ref="C13:F13"/>
    <mergeCell ref="G13:H13"/>
    <mergeCell ref="C14:F14"/>
    <mergeCell ref="G14:H14"/>
    <mergeCell ref="B16:H16"/>
    <mergeCell ref="B18:E18"/>
    <mergeCell ref="G18:H18"/>
    <mergeCell ref="B19:E19"/>
    <mergeCell ref="G19:H19"/>
    <mergeCell ref="B20:E20"/>
    <mergeCell ref="G20:H20"/>
    <mergeCell ref="B21:E21"/>
    <mergeCell ref="G21:H21"/>
    <mergeCell ref="B22:E22"/>
    <mergeCell ref="G22:H22"/>
    <mergeCell ref="B23:F23"/>
    <mergeCell ref="G23:H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1" zoomScalePageLayoutView="100" workbookViewId="0">
      <selection pane="topLeft" activeCell="H23" activeCellId="0" sqref="H23"/>
    </sheetView>
  </sheetViews>
  <sheetFormatPr defaultRowHeight="12.8" zeroHeight="false" outlineLevelRow="0" outlineLevelCol="0"/>
  <cols>
    <col collapsed="false" customWidth="true" hidden="false" outlineLevel="0" max="1" min="1" style="20" width="6.39"/>
    <col collapsed="false" customWidth="true" hidden="false" outlineLevel="0" max="2" min="2" style="20" width="25.7"/>
    <col collapsed="false" customWidth="true" hidden="false" outlineLevel="0" max="3" min="3" style="20" width="20.37"/>
    <col collapsed="false" customWidth="true" hidden="false" outlineLevel="0" max="4" min="4" style="20" width="22.78"/>
    <col collapsed="false" customWidth="true" hidden="false" outlineLevel="0" max="5" min="5" style="20" width="19.06"/>
    <col collapsed="false" customWidth="true" hidden="false" outlineLevel="0" max="6" min="6" style="20" width="12.5"/>
    <col collapsed="false" customWidth="true" hidden="false" outlineLevel="0" max="7" min="7" style="20" width="18.58"/>
    <col collapsed="false" customWidth="true" hidden="false" outlineLevel="0" max="8" min="8" style="20" width="15.56"/>
    <col collapsed="false" customWidth="false" hidden="false" outlineLevel="0" max="1025" min="9" style="20" width="11.52"/>
  </cols>
  <sheetData>
    <row r="1" customFormat="false" ht="21.75" hidden="false" customHeight="true" outlineLevel="0" collapsed="false">
      <c r="A1" s="8" t="s">
        <v>259</v>
      </c>
      <c r="B1" s="8"/>
      <c r="C1" s="8"/>
      <c r="D1" s="8"/>
      <c r="E1" s="8"/>
      <c r="F1" s="8"/>
      <c r="G1" s="8"/>
      <c r="H1" s="8"/>
    </row>
    <row r="2" customFormat="false" ht="12.8" hidden="false" customHeight="false" outlineLevel="0" collapsed="false">
      <c r="A2" s="137" t="s">
        <v>260</v>
      </c>
      <c r="B2" s="137"/>
      <c r="C2" s="137"/>
      <c r="D2" s="137"/>
      <c r="E2" s="137"/>
      <c r="F2" s="137"/>
      <c r="G2" s="137"/>
      <c r="H2" s="137"/>
    </row>
    <row r="3" customFormat="false" ht="12.8" hidden="false" customHeight="false" outlineLevel="0" collapsed="false">
      <c r="A3" s="137"/>
      <c r="B3" s="137"/>
      <c r="C3" s="137"/>
      <c r="D3" s="137"/>
      <c r="E3" s="137"/>
      <c r="F3" s="137"/>
      <c r="G3" s="137"/>
      <c r="H3" s="137"/>
    </row>
    <row r="4" customFormat="false" ht="53.15" hidden="false" customHeight="true" outlineLevel="0" collapsed="false">
      <c r="A4" s="14" t="s">
        <v>261</v>
      </c>
      <c r="B4" s="14" t="s">
        <v>262</v>
      </c>
      <c r="C4" s="14" t="s">
        <v>263</v>
      </c>
      <c r="D4" s="14" t="s">
        <v>264</v>
      </c>
      <c r="E4" s="14" t="s">
        <v>265</v>
      </c>
      <c r="F4" s="14" t="s">
        <v>266</v>
      </c>
      <c r="G4" s="14" t="s">
        <v>267</v>
      </c>
      <c r="H4" s="14" t="s">
        <v>242</v>
      </c>
    </row>
    <row r="5" customFormat="false" ht="27.9" hidden="false" customHeight="true" outlineLevel="0" collapsed="false">
      <c r="A5" s="16" t="n">
        <v>1</v>
      </c>
      <c r="B5" s="138" t="str">
        <f aca="false">Dados!B19</f>
        <v>Auxiliar de Almoxarifado</v>
      </c>
      <c r="C5" s="139" t="n">
        <f aca="false">'Aux. Almoxarifado'!I135</f>
        <v>3905.52</v>
      </c>
      <c r="D5" s="16" t="n">
        <v>1</v>
      </c>
      <c r="E5" s="139" t="n">
        <f aca="false">C5*D5</f>
        <v>3905.52</v>
      </c>
      <c r="F5" s="16" t="n">
        <f aca="false">Dados!G19</f>
        <v>4</v>
      </c>
      <c r="G5" s="139" t="n">
        <f aca="false">ROUND((E5*F5),2)</f>
        <v>15622.08</v>
      </c>
      <c r="H5" s="139" t="n">
        <f aca="false">G5*Dados!G14</f>
        <v>187464.96</v>
      </c>
    </row>
    <row r="6" customFormat="false" ht="27.9" hidden="false" customHeight="true" outlineLevel="0" collapsed="false">
      <c r="A6" s="16" t="n">
        <v>1</v>
      </c>
      <c r="B6" s="138" t="str">
        <f aca="false">Dados!B20</f>
        <v>Operador de Máquina Costeira / Roçadeira</v>
      </c>
      <c r="C6" s="139" t="n">
        <f aca="false">'Operador de Máquina Costal-Roçadeira'!I135</f>
        <v>5181.68</v>
      </c>
      <c r="D6" s="16" t="n">
        <v>1</v>
      </c>
      <c r="E6" s="139" t="n">
        <f aca="false">C6*D6</f>
        <v>5181.68</v>
      </c>
      <c r="F6" s="16" t="n">
        <f aca="false">Dados!G20</f>
        <v>2</v>
      </c>
      <c r="G6" s="139" t="n">
        <f aca="false">ROUND((E6*F6),2)</f>
        <v>10363.36</v>
      </c>
      <c r="H6" s="139" t="n">
        <f aca="false">G6*Dados!G14</f>
        <v>124360.32</v>
      </c>
    </row>
    <row r="7" customFormat="false" ht="27.9" hidden="false" customHeight="true" outlineLevel="0" collapsed="false">
      <c r="A7" s="140" t="n">
        <v>2</v>
      </c>
      <c r="B7" s="141" t="str">
        <f aca="false">Dados!B21</f>
        <v>Vigia Diurno</v>
      </c>
      <c r="C7" s="142" t="n">
        <f aca="false">'Vigia Diurno'!I145</f>
        <v>4574.85</v>
      </c>
      <c r="D7" s="140" t="n">
        <v>2</v>
      </c>
      <c r="E7" s="142" t="n">
        <f aca="false">C7*D7</f>
        <v>9149.7</v>
      </c>
      <c r="F7" s="140" t="n">
        <f aca="false">Dados!G21</f>
        <v>4</v>
      </c>
      <c r="G7" s="139" t="n">
        <f aca="false">ROUND((E7*F7),2)</f>
        <v>36598.8</v>
      </c>
      <c r="H7" s="142" t="n">
        <f aca="false">G7*Dados!G14</f>
        <v>439185.6</v>
      </c>
    </row>
    <row r="8" customFormat="false" ht="27.9" hidden="false" customHeight="true" outlineLevel="0" collapsed="false">
      <c r="A8" s="16" t="n">
        <v>3</v>
      </c>
      <c r="B8" s="138" t="str">
        <f aca="false">Dados!B22</f>
        <v>Vigia Noturno</v>
      </c>
      <c r="C8" s="139" t="n">
        <f aca="false">'Vigia Noturno'!I147</f>
        <v>5375.39547349856</v>
      </c>
      <c r="D8" s="16" t="n">
        <v>2</v>
      </c>
      <c r="E8" s="139" t="n">
        <f aca="false">D8*C8</f>
        <v>10750.7909469971</v>
      </c>
      <c r="F8" s="16" t="n">
        <f aca="false">Dados!G22</f>
        <v>4</v>
      </c>
      <c r="G8" s="139" t="n">
        <f aca="false">ROUND((E8*F8),2)</f>
        <v>43003.16</v>
      </c>
      <c r="H8" s="139" t="n">
        <f aca="false">G8*Dados!G14</f>
        <v>516037.92</v>
      </c>
    </row>
    <row r="9" customFormat="false" ht="28.5" hidden="false" customHeight="true" outlineLevel="0" collapsed="false">
      <c r="A9" s="143" t="s">
        <v>268</v>
      </c>
      <c r="B9" s="143"/>
      <c r="C9" s="143"/>
      <c r="D9" s="143"/>
      <c r="E9" s="143"/>
      <c r="F9" s="14" t="n">
        <f aca="false">SUM(F5:F8)</f>
        <v>14</v>
      </c>
      <c r="G9" s="144" t="n">
        <f aca="false">ROUND((SUM(G5:G8)),2)</f>
        <v>105587.4</v>
      </c>
      <c r="H9" s="144" t="n">
        <f aca="false">H8+H7+H6+H5</f>
        <v>1267048.8</v>
      </c>
    </row>
    <row r="10" customFormat="false" ht="23.6" hidden="false" customHeight="true" outlineLevel="0" collapsed="false">
      <c r="A10" s="145" t="s">
        <v>269</v>
      </c>
      <c r="B10" s="145"/>
      <c r="C10" s="145"/>
      <c r="D10" s="145"/>
      <c r="E10" s="145"/>
      <c r="F10" s="145"/>
      <c r="G10" s="146" t="n">
        <f aca="false">G9*Dados!G14</f>
        <v>1267048.8</v>
      </c>
      <c r="H10" s="146"/>
    </row>
  </sheetData>
  <mergeCells count="5">
    <mergeCell ref="A1:H1"/>
    <mergeCell ref="A2:H3"/>
    <mergeCell ref="A9:E9"/>
    <mergeCell ref="A10:F11"/>
    <mergeCell ref="G10:H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29" activeCellId="0" sqref="E29"/>
    </sheetView>
  </sheetViews>
  <sheetFormatPr defaultRowHeight="12.8" zeroHeight="false" outlineLevelRow="0" outlineLevelCol="0"/>
  <cols>
    <col collapsed="false" customWidth="true" hidden="false" outlineLevel="0" max="1" min="1" style="20" width="6.23"/>
    <col collapsed="false" customWidth="true" hidden="false" outlineLevel="0" max="5" min="2" style="20" width="40.81"/>
    <col collapsed="false" customWidth="false" hidden="false" outlineLevel="0" max="1025" min="6" style="20" width="11.52"/>
  </cols>
  <sheetData>
    <row r="1" customFormat="false" ht="13.8" hidden="false" customHeight="false" outlineLevel="0" collapsed="false">
      <c r="A1" s="119"/>
      <c r="B1" s="119"/>
      <c r="C1" s="119"/>
      <c r="D1" s="119"/>
      <c r="E1" s="119"/>
    </row>
    <row r="2" customFormat="false" ht="13.8" hidden="false" customHeight="false" outlineLevel="0" collapsed="false">
      <c r="A2" s="119"/>
      <c r="B2" s="121" t="s">
        <v>270</v>
      </c>
      <c r="C2" s="121"/>
      <c r="D2" s="121"/>
      <c r="E2" s="121"/>
    </row>
    <row r="3" customFormat="false" ht="13.8" hidden="false" customHeight="false" outlineLevel="0" collapsed="false">
      <c r="A3" s="119"/>
      <c r="B3" s="121"/>
      <c r="C3" s="121"/>
      <c r="D3" s="121"/>
      <c r="E3" s="121"/>
    </row>
    <row r="4" customFormat="false" ht="13.8" hidden="false" customHeight="false" outlineLevel="0" collapsed="false">
      <c r="A4" s="119"/>
      <c r="B4" s="119"/>
      <c r="C4" s="119"/>
      <c r="D4" s="119"/>
      <c r="E4" s="119"/>
    </row>
    <row r="5" customFormat="false" ht="19.95" hidden="false" customHeight="true" outlineLevel="0" collapsed="false">
      <c r="A5" s="119"/>
      <c r="B5" s="147" t="s">
        <v>271</v>
      </c>
      <c r="C5" s="147"/>
      <c r="D5" s="147" t="s">
        <v>272</v>
      </c>
      <c r="E5" s="147"/>
    </row>
    <row r="6" customFormat="false" ht="19.95" hidden="false" customHeight="true" outlineLevel="0" collapsed="false">
      <c r="A6" s="119"/>
      <c r="B6" s="147" t="s">
        <v>273</v>
      </c>
      <c r="C6" s="147"/>
      <c r="D6" s="147" t="s">
        <v>274</v>
      </c>
      <c r="E6" s="147"/>
    </row>
    <row r="7" customFormat="false" ht="49.95" hidden="false" customHeight="true" outlineLevel="0" collapsed="false">
      <c r="A7" s="119"/>
      <c r="B7" s="147" t="s">
        <v>275</v>
      </c>
      <c r="C7" s="147"/>
      <c r="D7" s="147" t="s">
        <v>276</v>
      </c>
      <c r="E7" s="147"/>
    </row>
    <row r="8" customFormat="false" ht="29.95" hidden="false" customHeight="true" outlineLevel="0" collapsed="false">
      <c r="A8" s="119"/>
      <c r="B8" s="148" t="s">
        <v>277</v>
      </c>
      <c r="C8" s="148"/>
      <c r="D8" s="148" t="s">
        <v>278</v>
      </c>
      <c r="E8" s="148"/>
    </row>
    <row r="9" customFormat="false" ht="35.25" hidden="false" customHeight="false" outlineLevel="0" collapsed="false">
      <c r="A9" s="119"/>
      <c r="B9" s="147" t="s">
        <v>279</v>
      </c>
      <c r="C9" s="149" t="s">
        <v>280</v>
      </c>
      <c r="D9" s="149" t="s">
        <v>281</v>
      </c>
      <c r="E9" s="147" t="s">
        <v>282</v>
      </c>
    </row>
    <row r="10" customFormat="false" ht="24" hidden="false" customHeight="false" outlineLevel="0" collapsed="false">
      <c r="A10" s="119"/>
      <c r="B10" s="148" t="s">
        <v>283</v>
      </c>
      <c r="C10" s="148" t="s">
        <v>284</v>
      </c>
      <c r="D10" s="148" t="s">
        <v>285</v>
      </c>
      <c r="E10" s="150" t="s">
        <v>286</v>
      </c>
    </row>
    <row r="11" customFormat="false" ht="13.8" hidden="false" customHeight="false" outlineLevel="0" collapsed="false">
      <c r="A11" s="119"/>
      <c r="B11" s="151" t="s">
        <v>287</v>
      </c>
      <c r="C11" s="151"/>
      <c r="D11" s="151"/>
      <c r="E11" s="151"/>
    </row>
    <row r="12" customFormat="false" ht="13.8" hidden="false" customHeight="false" outlineLevel="0" collapsed="false">
      <c r="A12" s="119"/>
      <c r="B12" s="151"/>
      <c r="C12" s="151"/>
      <c r="D12" s="151"/>
      <c r="E12" s="151"/>
    </row>
  </sheetData>
  <mergeCells count="10">
    <mergeCell ref="B2:E3"/>
    <mergeCell ref="B5:C5"/>
    <mergeCell ref="D5:E5"/>
    <mergeCell ref="B6:C6"/>
    <mergeCell ref="D6:E6"/>
    <mergeCell ref="B7:C7"/>
    <mergeCell ref="D7:E7"/>
    <mergeCell ref="B8:C8"/>
    <mergeCell ref="D8:E8"/>
    <mergeCell ref="B11:E12"/>
  </mergeCells>
  <printOptions headings="false" gridLines="false" gridLinesSet="true" horizontalCentered="false" verticalCentered="false"/>
  <pageMargins left="0.285416666666667" right="0.629166666666667" top="1.05277777777778" bottom="1.05277777777778" header="0.7875" footer="0.7875"/>
  <pageSetup paperSize="9" scale="7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3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34" activeCellId="0" sqref="I134"/>
    </sheetView>
  </sheetViews>
  <sheetFormatPr defaultRowHeight="12.8" zeroHeight="false" outlineLevelRow="0" outlineLevelCol="0"/>
  <cols>
    <col collapsed="false" customWidth="true" hidden="false" outlineLevel="0" max="1" min="1" style="20" width="10"/>
    <col collapsed="false" customWidth="true" hidden="false" outlineLevel="0" max="4" min="2" style="20" width="8.67"/>
    <col collapsed="false" customWidth="true" hidden="false" outlineLevel="0" max="5" min="5" style="20" width="10.85"/>
    <col collapsed="false" customWidth="true" hidden="false" outlineLevel="0" max="6" min="6" style="20" width="12.64"/>
    <col collapsed="false" customWidth="true" hidden="false" outlineLevel="0" max="7" min="7" style="20" width="17.32"/>
    <col collapsed="false" customWidth="true" hidden="false" outlineLevel="0" max="8" min="8" style="20" width="11.38"/>
    <col collapsed="false" customWidth="true" hidden="false" outlineLevel="0" max="9" min="9" style="20" width="13.29"/>
    <col collapsed="false" customWidth="true" hidden="false" outlineLevel="0" max="10" min="10" style="20" width="5.01"/>
    <col collapsed="false" customWidth="true" hidden="false" outlineLevel="0" max="11" min="11" style="21" width="6.4"/>
    <col collapsed="false" customWidth="false" hidden="false" outlineLevel="0" max="12" min="12" style="20" width="11.52"/>
    <col collapsed="false" customWidth="true" hidden="false" outlineLevel="0" max="13" min="13" style="20" width="9.59"/>
    <col collapsed="false" customWidth="true" hidden="false" outlineLevel="0" max="1025" min="14" style="20" width="8.67"/>
  </cols>
  <sheetData>
    <row r="1" customFormat="false" ht="12.8" hidden="false" customHeight="false" outlineLevel="0" collapsed="false">
      <c r="A1" s="22"/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false" outlineLevel="0" collapsed="false">
      <c r="A2" s="23" t="s">
        <v>28</v>
      </c>
      <c r="B2" s="23"/>
      <c r="C2" s="23"/>
      <c r="D2" s="23"/>
      <c r="E2" s="23"/>
      <c r="F2" s="23"/>
      <c r="G2" s="23"/>
      <c r="H2" s="23"/>
      <c r="I2" s="23"/>
      <c r="K2" s="24"/>
    </row>
    <row r="3" customFormat="false" ht="15" hidden="false" customHeight="false" outlineLevel="0" collapsed="false">
      <c r="A3" s="25"/>
      <c r="B3" s="25"/>
      <c r="C3" s="25"/>
      <c r="D3" s="25"/>
      <c r="E3" s="25"/>
      <c r="F3" s="25"/>
      <c r="G3" s="25"/>
      <c r="H3" s="25"/>
      <c r="I3" s="25"/>
    </row>
    <row r="4" customFormat="false" ht="15" hidden="false" customHeight="false" outlineLevel="0" collapsed="false">
      <c r="A4" s="26" t="s">
        <v>29</v>
      </c>
      <c r="B4" s="26"/>
      <c r="C4" s="26"/>
      <c r="D4" s="26"/>
      <c r="E4" s="26"/>
      <c r="F4" s="26"/>
      <c r="G4" s="26"/>
      <c r="H4" s="26"/>
      <c r="I4" s="26"/>
    </row>
    <row r="5" customFormat="false" ht="15" hidden="false" customHeight="false" outlineLevel="0" collapsed="false">
      <c r="A5" s="27" t="n">
        <v>1</v>
      </c>
      <c r="B5" s="28" t="s">
        <v>30</v>
      </c>
      <c r="C5" s="28"/>
      <c r="D5" s="28"/>
      <c r="E5" s="28"/>
      <c r="F5" s="28"/>
      <c r="G5" s="28"/>
      <c r="H5" s="29" t="s">
        <v>22</v>
      </c>
      <c r="I5" s="29" t="s">
        <v>31</v>
      </c>
    </row>
    <row r="6" customFormat="false" ht="15" hidden="false" customHeight="false" outlineLevel="0" collapsed="false">
      <c r="A6" s="27" t="n">
        <v>2</v>
      </c>
      <c r="B6" s="28" t="s">
        <v>32</v>
      </c>
      <c r="C6" s="28"/>
      <c r="D6" s="28"/>
      <c r="E6" s="28"/>
      <c r="F6" s="28"/>
      <c r="G6" s="28"/>
      <c r="H6" s="30" t="n">
        <v>1210</v>
      </c>
      <c r="I6" s="30"/>
    </row>
    <row r="7" customFormat="false" ht="15" hidden="false" customHeight="false" outlineLevel="0" collapsed="false">
      <c r="A7" s="27" t="n">
        <v>3</v>
      </c>
      <c r="B7" s="28" t="s">
        <v>33</v>
      </c>
      <c r="C7" s="28"/>
      <c r="D7" s="28"/>
      <c r="E7" s="28"/>
      <c r="F7" s="28"/>
      <c r="G7" s="28"/>
      <c r="H7" s="29" t="s">
        <v>34</v>
      </c>
      <c r="I7" s="29"/>
    </row>
    <row r="8" customFormat="false" ht="15" hidden="false" customHeight="false" outlineLevel="0" collapsed="false">
      <c r="A8" s="27" t="n">
        <v>4</v>
      </c>
      <c r="B8" s="28" t="s">
        <v>35</v>
      </c>
      <c r="C8" s="28"/>
      <c r="D8" s="28"/>
      <c r="E8" s="28"/>
      <c r="F8" s="28"/>
      <c r="G8" s="28"/>
      <c r="H8" s="31" t="n">
        <v>43497</v>
      </c>
      <c r="I8" s="31"/>
    </row>
    <row r="9" customFormat="false" ht="13.8" hidden="false" customHeight="false" outlineLevel="0" collapsed="false">
      <c r="A9" s="32"/>
      <c r="B9" s="32"/>
      <c r="C9" s="32"/>
      <c r="D9" s="32"/>
      <c r="E9" s="32"/>
      <c r="F9" s="32"/>
      <c r="G9" s="32"/>
      <c r="H9" s="32"/>
      <c r="I9" s="32"/>
    </row>
    <row r="10" customFormat="false" ht="13.8" hidden="false" customHeight="false" outlineLevel="0" collapsed="false">
      <c r="A10" s="33" t="s">
        <v>36</v>
      </c>
      <c r="B10" s="33"/>
      <c r="C10" s="33"/>
      <c r="D10" s="33"/>
      <c r="E10" s="33"/>
      <c r="F10" s="33"/>
      <c r="G10" s="33"/>
      <c r="H10" s="33"/>
      <c r="I10" s="33"/>
    </row>
    <row r="11" customFormat="false" ht="13.8" hidden="false" customHeight="false" outlineLevel="0" collapsed="false">
      <c r="A11" s="34" t="n">
        <v>1</v>
      </c>
      <c r="B11" s="35" t="s">
        <v>37</v>
      </c>
      <c r="C11" s="35"/>
      <c r="D11" s="35"/>
      <c r="E11" s="35"/>
      <c r="F11" s="35"/>
      <c r="G11" s="35"/>
      <c r="H11" s="36" t="s">
        <v>38</v>
      </c>
      <c r="I11" s="37" t="s">
        <v>39</v>
      </c>
    </row>
    <row r="12" customFormat="false" ht="13.8" hidden="false" customHeight="false" outlineLevel="0" collapsed="false">
      <c r="A12" s="38" t="s">
        <v>8</v>
      </c>
      <c r="B12" s="39" t="s">
        <v>40</v>
      </c>
      <c r="C12" s="39"/>
      <c r="D12" s="39"/>
      <c r="E12" s="39"/>
      <c r="F12" s="39"/>
      <c r="G12" s="39"/>
      <c r="H12" s="40"/>
      <c r="I12" s="41" t="n">
        <f aca="false">H6</f>
        <v>1210</v>
      </c>
      <c r="L12" s="42"/>
    </row>
    <row r="13" customFormat="false" ht="13.8" hidden="false" customHeight="false" outlineLevel="0" collapsed="false">
      <c r="A13" s="34" t="s">
        <v>41</v>
      </c>
      <c r="B13" s="34"/>
      <c r="C13" s="34"/>
      <c r="D13" s="34"/>
      <c r="E13" s="34"/>
      <c r="F13" s="34"/>
      <c r="G13" s="34"/>
      <c r="H13" s="34"/>
      <c r="I13" s="43" t="n">
        <f aca="false">(SUM(I11:I12))</f>
        <v>1210</v>
      </c>
      <c r="J13" s="44"/>
    </row>
    <row r="14" customFormat="false" ht="13.8" hidden="false" customHeight="false" outlineLevel="0" collapsed="false">
      <c r="A14" s="34"/>
      <c r="B14" s="34"/>
      <c r="C14" s="34"/>
      <c r="D14" s="34"/>
      <c r="E14" s="34"/>
      <c r="F14" s="34"/>
      <c r="G14" s="34"/>
      <c r="H14" s="34"/>
      <c r="I14" s="34"/>
      <c r="J14" s="44"/>
    </row>
    <row r="15" customFormat="false" ht="13.8" hidden="false" customHeight="false" outlineLevel="0" collapsed="false">
      <c r="A15" s="45" t="s">
        <v>42</v>
      </c>
      <c r="B15" s="45"/>
      <c r="C15" s="45"/>
      <c r="D15" s="45"/>
      <c r="E15" s="45"/>
      <c r="F15" s="45"/>
      <c r="G15" s="45"/>
      <c r="H15" s="45"/>
      <c r="I15" s="45"/>
      <c r="J15" s="44"/>
    </row>
    <row r="16" customFormat="false" ht="13.8" hidden="false" customHeight="false" outlineLevel="0" collapsed="false">
      <c r="A16" s="35" t="s">
        <v>43</v>
      </c>
      <c r="B16" s="35"/>
      <c r="C16" s="35"/>
      <c r="D16" s="35"/>
      <c r="E16" s="35"/>
      <c r="F16" s="35"/>
      <c r="G16" s="35"/>
      <c r="H16" s="35" t="s">
        <v>38</v>
      </c>
      <c r="I16" s="35" t="s">
        <v>39</v>
      </c>
      <c r="J16" s="44"/>
    </row>
    <row r="17" customFormat="false" ht="13.8" hidden="false" customHeight="false" outlineLevel="0" collapsed="false">
      <c r="A17" s="35" t="s">
        <v>8</v>
      </c>
      <c r="B17" s="46" t="s">
        <v>44</v>
      </c>
      <c r="C17" s="46"/>
      <c r="D17" s="46"/>
      <c r="E17" s="46"/>
      <c r="F17" s="46"/>
      <c r="G17" s="46"/>
      <c r="H17" s="47" t="n">
        <f aca="false">1/12</f>
        <v>0.0833333333333333</v>
      </c>
      <c r="I17" s="48" t="n">
        <f aca="false">$I$13*H17</f>
        <v>100.833333333333</v>
      </c>
      <c r="J17" s="44"/>
    </row>
    <row r="18" customFormat="false" ht="13.8" hidden="false" customHeight="false" outlineLevel="0" collapsed="false">
      <c r="A18" s="35" t="s">
        <v>10</v>
      </c>
      <c r="B18" s="46" t="s">
        <v>45</v>
      </c>
      <c r="C18" s="46"/>
      <c r="D18" s="46"/>
      <c r="E18" s="46"/>
      <c r="F18" s="46"/>
      <c r="G18" s="46"/>
      <c r="H18" s="49" t="n">
        <v>0.121</v>
      </c>
      <c r="I18" s="48" t="n">
        <f aca="false">$I$13*H18</f>
        <v>146.41</v>
      </c>
      <c r="J18" s="44"/>
      <c r="K18" s="50"/>
      <c r="L18" s="51"/>
    </row>
    <row r="19" customFormat="false" ht="13.8" hidden="true" customHeight="false" outlineLevel="0" collapsed="false">
      <c r="A19" s="35" t="s">
        <v>13</v>
      </c>
      <c r="B19" s="52"/>
      <c r="C19" s="52"/>
      <c r="D19" s="52"/>
      <c r="E19" s="52"/>
      <c r="F19" s="52"/>
      <c r="G19" s="52"/>
      <c r="H19" s="49"/>
      <c r="I19" s="48" t="n">
        <f aca="false">$I$13*H19</f>
        <v>0</v>
      </c>
      <c r="J19" s="44"/>
      <c r="K19" s="50"/>
      <c r="L19" s="51"/>
    </row>
    <row r="20" customFormat="false" ht="13.8" hidden="false" customHeight="false" outlineLevel="0" collapsed="false">
      <c r="A20" s="35" t="s">
        <v>46</v>
      </c>
      <c r="B20" s="35"/>
      <c r="C20" s="35"/>
      <c r="D20" s="35"/>
      <c r="E20" s="35"/>
      <c r="F20" s="35"/>
      <c r="G20" s="35"/>
      <c r="H20" s="53" t="n">
        <f aca="false">TRUNC(SUM(H17:H18),4)</f>
        <v>0.2043</v>
      </c>
      <c r="I20" s="54" t="n">
        <f aca="false">(SUM(I17:I19))</f>
        <v>247.243333333333</v>
      </c>
      <c r="J20" s="44"/>
      <c r="K20" s="50"/>
    </row>
    <row r="21" customFormat="false" ht="13.8" hidden="false" customHeight="false" outlineLevel="0" collapsed="false">
      <c r="A21" s="32"/>
      <c r="B21" s="32"/>
      <c r="C21" s="32"/>
      <c r="D21" s="32"/>
      <c r="E21" s="32"/>
      <c r="F21" s="32"/>
      <c r="G21" s="32"/>
      <c r="H21" s="32"/>
      <c r="I21" s="32"/>
      <c r="J21" s="44"/>
      <c r="K21" s="50"/>
    </row>
    <row r="22" customFormat="false" ht="13.8" hidden="false" customHeight="false" outlineLevel="0" collapsed="false">
      <c r="A22" s="55" t="s">
        <v>47</v>
      </c>
      <c r="B22" s="55"/>
      <c r="C22" s="55"/>
      <c r="D22" s="55"/>
      <c r="E22" s="55"/>
      <c r="F22" s="55"/>
      <c r="G22" s="55"/>
      <c r="H22" s="55" t="s">
        <v>38</v>
      </c>
      <c r="I22" s="55" t="s">
        <v>39</v>
      </c>
      <c r="J22" s="44"/>
    </row>
    <row r="23" customFormat="false" ht="13.8" hidden="false" customHeight="false" outlineLevel="0" collapsed="false">
      <c r="A23" s="35" t="s">
        <v>8</v>
      </c>
      <c r="B23" s="46" t="s">
        <v>48</v>
      </c>
      <c r="C23" s="46"/>
      <c r="D23" s="46"/>
      <c r="E23" s="46"/>
      <c r="F23" s="46"/>
      <c r="G23" s="46"/>
      <c r="H23" s="47" t="n">
        <v>0.2</v>
      </c>
      <c r="I23" s="48" t="n">
        <f aca="false">($I$13+$I$20)*H23</f>
        <v>291.448666666667</v>
      </c>
      <c r="J23" s="44"/>
    </row>
    <row r="24" customFormat="false" ht="13.8" hidden="false" customHeight="false" outlineLevel="0" collapsed="false">
      <c r="A24" s="35" t="s">
        <v>10</v>
      </c>
      <c r="B24" s="46" t="s">
        <v>49</v>
      </c>
      <c r="C24" s="46"/>
      <c r="D24" s="46"/>
      <c r="E24" s="46"/>
      <c r="F24" s="46"/>
      <c r="G24" s="46"/>
      <c r="H24" s="47" t="n">
        <v>0.025</v>
      </c>
      <c r="I24" s="48" t="n">
        <f aca="false">($I$13+$I$20)*H24</f>
        <v>36.4310833333333</v>
      </c>
      <c r="J24" s="44"/>
    </row>
    <row r="25" customFormat="false" ht="13.8" hidden="false" customHeight="false" outlineLevel="0" collapsed="false">
      <c r="A25" s="32" t="s">
        <v>13</v>
      </c>
      <c r="B25" s="46" t="s">
        <v>50</v>
      </c>
      <c r="C25" s="46"/>
      <c r="D25" s="46"/>
      <c r="E25" s="46"/>
      <c r="F25" s="46"/>
      <c r="G25" s="46"/>
      <c r="H25" s="56" t="n">
        <f aca="false">G26</f>
        <v>0.03</v>
      </c>
      <c r="I25" s="57" t="n">
        <f aca="false">($I$13+$I$20)*H25</f>
        <v>43.7173</v>
      </c>
      <c r="J25" s="44"/>
      <c r="K25" s="58"/>
    </row>
    <row r="26" customFormat="false" ht="13.8" hidden="false" customHeight="false" outlineLevel="0" collapsed="false">
      <c r="A26" s="32"/>
      <c r="B26" s="46" t="s">
        <v>51</v>
      </c>
      <c r="C26" s="59" t="n">
        <v>0.03</v>
      </c>
      <c r="D26" s="46" t="s">
        <v>52</v>
      </c>
      <c r="E26" s="60" t="n">
        <v>1</v>
      </c>
      <c r="F26" s="61" t="s">
        <v>53</v>
      </c>
      <c r="G26" s="47" t="n">
        <f aca="false">E26*C26</f>
        <v>0.03</v>
      </c>
      <c r="H26" s="56"/>
      <c r="I26" s="57"/>
      <c r="J26" s="44"/>
    </row>
    <row r="27" customFormat="false" ht="13.8" hidden="false" customHeight="false" outlineLevel="0" collapsed="false">
      <c r="A27" s="35" t="s">
        <v>16</v>
      </c>
      <c r="B27" s="46" t="s">
        <v>54</v>
      </c>
      <c r="C27" s="46"/>
      <c r="D27" s="46"/>
      <c r="E27" s="46"/>
      <c r="F27" s="46"/>
      <c r="G27" s="46"/>
      <c r="H27" s="47" t="n">
        <v>0.015</v>
      </c>
      <c r="I27" s="48" t="n">
        <f aca="false">($I$13+$I$20)*H27</f>
        <v>21.85865</v>
      </c>
      <c r="J27" s="44"/>
    </row>
    <row r="28" customFormat="false" ht="13.8" hidden="false" customHeight="false" outlineLevel="0" collapsed="false">
      <c r="A28" s="35" t="s">
        <v>55</v>
      </c>
      <c r="B28" s="46" t="s">
        <v>56</v>
      </c>
      <c r="C28" s="46"/>
      <c r="D28" s="46"/>
      <c r="E28" s="46"/>
      <c r="F28" s="46"/>
      <c r="G28" s="46"/>
      <c r="H28" s="47" t="n">
        <v>0.01</v>
      </c>
      <c r="I28" s="48" t="n">
        <f aca="false">($I$13+$I$20)*H28</f>
        <v>14.5724333333333</v>
      </c>
      <c r="J28" s="44"/>
    </row>
    <row r="29" customFormat="false" ht="13.8" hidden="false" customHeight="false" outlineLevel="0" collapsed="false">
      <c r="A29" s="35" t="s">
        <v>57</v>
      </c>
      <c r="B29" s="46" t="s">
        <v>58</v>
      </c>
      <c r="C29" s="46"/>
      <c r="D29" s="46"/>
      <c r="E29" s="46"/>
      <c r="F29" s="46"/>
      <c r="G29" s="46"/>
      <c r="H29" s="47" t="n">
        <v>0.006</v>
      </c>
      <c r="I29" s="48" t="n">
        <f aca="false">($I$13+$I$20)*H29</f>
        <v>8.74346</v>
      </c>
      <c r="J29" s="44"/>
    </row>
    <row r="30" customFormat="false" ht="13.8" hidden="false" customHeight="false" outlineLevel="0" collapsed="false">
      <c r="A30" s="35" t="s">
        <v>59</v>
      </c>
      <c r="B30" s="46" t="s">
        <v>60</v>
      </c>
      <c r="C30" s="46"/>
      <c r="D30" s="46"/>
      <c r="E30" s="46"/>
      <c r="F30" s="46"/>
      <c r="G30" s="46"/>
      <c r="H30" s="47" t="n">
        <v>0.002</v>
      </c>
      <c r="I30" s="48" t="n">
        <f aca="false">($I$13+$I$20)*H30</f>
        <v>2.91448666666667</v>
      </c>
      <c r="J30" s="44"/>
    </row>
    <row r="31" customFormat="false" ht="13.8" hidden="false" customHeight="false" outlineLevel="0" collapsed="false">
      <c r="A31" s="35" t="s">
        <v>61</v>
      </c>
      <c r="B31" s="46" t="s">
        <v>62</v>
      </c>
      <c r="C31" s="46"/>
      <c r="D31" s="46"/>
      <c r="E31" s="46"/>
      <c r="F31" s="46"/>
      <c r="G31" s="46"/>
      <c r="H31" s="47" t="n">
        <v>0.08</v>
      </c>
      <c r="I31" s="48" t="n">
        <f aca="false">($I$13+$I$20)*H31</f>
        <v>116.579466666667</v>
      </c>
      <c r="J31" s="44"/>
    </row>
    <row r="32" customFormat="false" ht="13.8" hidden="false" customHeight="false" outlineLevel="0" collapsed="false">
      <c r="A32" s="35" t="s">
        <v>63</v>
      </c>
      <c r="B32" s="35"/>
      <c r="C32" s="35"/>
      <c r="D32" s="35"/>
      <c r="E32" s="35"/>
      <c r="F32" s="35"/>
      <c r="G32" s="35"/>
      <c r="H32" s="53" t="n">
        <f aca="false">SUM(H23:H31)</f>
        <v>0.368</v>
      </c>
      <c r="I32" s="54" t="n">
        <f aca="false">(SUM(I23:I31))</f>
        <v>536.265546666667</v>
      </c>
      <c r="J32" s="44"/>
    </row>
    <row r="33" customFormat="false" ht="13.8" hidden="false" customHeight="false" outlineLevel="0" collapsed="false">
      <c r="A33" s="62"/>
      <c r="B33" s="62"/>
      <c r="C33" s="62"/>
      <c r="D33" s="62"/>
      <c r="E33" s="62"/>
      <c r="F33" s="62"/>
      <c r="G33" s="62"/>
      <c r="H33" s="62"/>
      <c r="I33" s="62"/>
      <c r="J33" s="44"/>
    </row>
    <row r="34" customFormat="false" ht="13.8" hidden="false" customHeight="false" outlineLevel="0" collapsed="false">
      <c r="A34" s="55" t="s">
        <v>64</v>
      </c>
      <c r="B34" s="55"/>
      <c r="C34" s="55"/>
      <c r="D34" s="55"/>
      <c r="E34" s="55"/>
      <c r="F34" s="55"/>
      <c r="G34" s="55"/>
      <c r="H34" s="63"/>
      <c r="I34" s="55" t="s">
        <v>39</v>
      </c>
      <c r="J34" s="44"/>
    </row>
    <row r="35" customFormat="false" ht="13.8" hidden="false" customHeight="false" outlineLevel="0" collapsed="false">
      <c r="A35" s="32" t="s">
        <v>8</v>
      </c>
      <c r="B35" s="52" t="s">
        <v>65</v>
      </c>
      <c r="C35" s="52"/>
      <c r="D35" s="52"/>
      <c r="E35" s="52"/>
      <c r="F35" s="64" t="s">
        <v>66</v>
      </c>
      <c r="G35" s="64"/>
      <c r="H35" s="61" t="n">
        <v>2</v>
      </c>
      <c r="I35" s="57" t="n">
        <f aca="false">(H35*H36*22)-(I12*0.06)</f>
        <v>92.4</v>
      </c>
      <c r="J35" s="44"/>
    </row>
    <row r="36" customFormat="false" ht="13.8" hidden="false" customHeight="false" outlineLevel="0" collapsed="false">
      <c r="A36" s="32"/>
      <c r="B36" s="52"/>
      <c r="C36" s="52"/>
      <c r="D36" s="52"/>
      <c r="E36" s="52"/>
      <c r="F36" s="64" t="s">
        <v>67</v>
      </c>
      <c r="G36" s="64"/>
      <c r="H36" s="65" t="n">
        <v>3.75</v>
      </c>
      <c r="I36" s="57"/>
      <c r="J36" s="44"/>
    </row>
    <row r="37" customFormat="false" ht="13.8" hidden="false" customHeight="false" outlineLevel="0" collapsed="false">
      <c r="A37" s="35" t="s">
        <v>10</v>
      </c>
      <c r="B37" s="66" t="s">
        <v>68</v>
      </c>
      <c r="C37" s="66"/>
      <c r="D37" s="66"/>
      <c r="E37" s="66"/>
      <c r="F37" s="66"/>
      <c r="G37" s="66"/>
      <c r="H37" s="65" t="n">
        <v>400</v>
      </c>
      <c r="I37" s="41" t="n">
        <f aca="false">(H37)-(H37*0.2)+(((H37)-(H37*0.2))/12)</f>
        <v>346.666666666667</v>
      </c>
      <c r="J37" s="44"/>
    </row>
    <row r="38" customFormat="false" ht="13.8" hidden="false" customHeight="false" outlineLevel="0" collapsed="false">
      <c r="A38" s="35" t="s">
        <v>13</v>
      </c>
      <c r="B38" s="66" t="s">
        <v>69</v>
      </c>
      <c r="C38" s="66"/>
      <c r="D38" s="66"/>
      <c r="E38" s="66"/>
      <c r="F38" s="66"/>
      <c r="G38" s="66"/>
      <c r="H38" s="61" t="s">
        <v>70</v>
      </c>
      <c r="I38" s="41" t="n">
        <v>60</v>
      </c>
      <c r="J38" s="44"/>
    </row>
    <row r="39" customFormat="false" ht="13.8" hidden="false" customHeight="false" outlineLevel="0" collapsed="false">
      <c r="A39" s="35" t="s">
        <v>16</v>
      </c>
      <c r="B39" s="66" t="s">
        <v>71</v>
      </c>
      <c r="C39" s="66"/>
      <c r="D39" s="66"/>
      <c r="E39" s="66"/>
      <c r="F39" s="66"/>
      <c r="G39" s="66"/>
      <c r="H39" s="61" t="s">
        <v>70</v>
      </c>
      <c r="I39" s="41" t="n">
        <v>0</v>
      </c>
      <c r="J39" s="44"/>
    </row>
    <row r="40" customFormat="false" ht="13.8" hidden="false" customHeight="false" outlineLevel="0" collapsed="false">
      <c r="A40" s="35" t="s">
        <v>55</v>
      </c>
      <c r="B40" s="66" t="s">
        <v>72</v>
      </c>
      <c r="C40" s="66"/>
      <c r="D40" s="66"/>
      <c r="E40" s="66"/>
      <c r="F40" s="66"/>
      <c r="G40" s="66"/>
      <c r="H40" s="61" t="s">
        <v>70</v>
      </c>
      <c r="I40" s="41" t="n">
        <v>20</v>
      </c>
      <c r="J40" s="44"/>
    </row>
    <row r="41" customFormat="false" ht="13.8" hidden="false" customHeight="false" outlineLevel="0" collapsed="false">
      <c r="A41" s="35" t="s">
        <v>57</v>
      </c>
      <c r="B41" s="66" t="s">
        <v>73</v>
      </c>
      <c r="C41" s="66"/>
      <c r="D41" s="66"/>
      <c r="E41" s="66"/>
      <c r="F41" s="66"/>
      <c r="G41" s="66"/>
      <c r="H41" s="61" t="s">
        <v>70</v>
      </c>
      <c r="I41" s="41" t="n">
        <v>20</v>
      </c>
      <c r="J41" s="44"/>
    </row>
    <row r="42" customFormat="false" ht="13.8" hidden="false" customHeight="false" outlineLevel="0" collapsed="false">
      <c r="A42" s="35" t="s">
        <v>74</v>
      </c>
      <c r="B42" s="35"/>
      <c r="C42" s="35"/>
      <c r="D42" s="35"/>
      <c r="E42" s="35"/>
      <c r="F42" s="35"/>
      <c r="G42" s="35"/>
      <c r="H42" s="35"/>
      <c r="I42" s="54" t="n">
        <f aca="false">(SUM(I35:I41))</f>
        <v>539.066666666667</v>
      </c>
      <c r="J42" s="44"/>
    </row>
    <row r="43" customFormat="false" ht="13.8" hidden="false" customHeight="false" outlineLevel="0" collapsed="false">
      <c r="A43" s="32"/>
      <c r="B43" s="32"/>
      <c r="C43" s="32"/>
      <c r="D43" s="32"/>
      <c r="E43" s="32"/>
      <c r="F43" s="32"/>
      <c r="G43" s="32"/>
      <c r="H43" s="32"/>
      <c r="I43" s="32"/>
      <c r="J43" s="44"/>
    </row>
    <row r="44" customFormat="false" ht="13.8" hidden="false" customHeight="false" outlineLevel="0" collapsed="false">
      <c r="A44" s="67" t="s">
        <v>75</v>
      </c>
      <c r="B44" s="67"/>
      <c r="C44" s="67"/>
      <c r="D44" s="67"/>
      <c r="E44" s="67"/>
      <c r="F44" s="67"/>
      <c r="G44" s="67"/>
      <c r="H44" s="67"/>
      <c r="I44" s="67"/>
      <c r="J44" s="44"/>
    </row>
    <row r="45" customFormat="false" ht="13.8" hidden="false" customHeight="false" outlineLevel="0" collapsed="false">
      <c r="A45" s="35" t="s">
        <v>76</v>
      </c>
      <c r="B45" s="35"/>
      <c r="C45" s="35"/>
      <c r="D45" s="35"/>
      <c r="E45" s="35"/>
      <c r="F45" s="35"/>
      <c r="G45" s="35"/>
      <c r="H45" s="35"/>
      <c r="I45" s="35" t="s">
        <v>39</v>
      </c>
      <c r="J45" s="44"/>
    </row>
    <row r="46" customFormat="false" ht="13.8" hidden="false" customHeight="false" outlineLevel="0" collapsed="false">
      <c r="A46" s="35" t="s">
        <v>77</v>
      </c>
      <c r="B46" s="46" t="s">
        <v>78</v>
      </c>
      <c r="C46" s="46"/>
      <c r="D46" s="46"/>
      <c r="E46" s="46"/>
      <c r="F46" s="46"/>
      <c r="G46" s="46"/>
      <c r="H46" s="46"/>
      <c r="I46" s="48" t="n">
        <f aca="false">I20</f>
        <v>247.243333333333</v>
      </c>
      <c r="J46" s="44"/>
    </row>
    <row r="47" customFormat="false" ht="13.8" hidden="false" customHeight="false" outlineLevel="0" collapsed="false">
      <c r="A47" s="35" t="s">
        <v>79</v>
      </c>
      <c r="B47" s="46" t="s">
        <v>80</v>
      </c>
      <c r="C47" s="46"/>
      <c r="D47" s="46"/>
      <c r="E47" s="46"/>
      <c r="F47" s="46"/>
      <c r="G47" s="46"/>
      <c r="H47" s="46"/>
      <c r="I47" s="48" t="n">
        <f aca="false">I32</f>
        <v>536.265546666667</v>
      </c>
      <c r="J47" s="44"/>
    </row>
    <row r="48" customFormat="false" ht="13.8" hidden="false" customHeight="false" outlineLevel="0" collapsed="false">
      <c r="A48" s="35" t="s">
        <v>81</v>
      </c>
      <c r="B48" s="46" t="s">
        <v>82</v>
      </c>
      <c r="C48" s="46"/>
      <c r="D48" s="46"/>
      <c r="E48" s="46"/>
      <c r="F48" s="46"/>
      <c r="G48" s="46"/>
      <c r="H48" s="46"/>
      <c r="I48" s="48" t="n">
        <f aca="false">I42</f>
        <v>539.066666666667</v>
      </c>
      <c r="J48" s="44"/>
    </row>
    <row r="49" customFormat="false" ht="13.8" hidden="false" customHeight="false" outlineLevel="0" collapsed="false">
      <c r="A49" s="35" t="s">
        <v>83</v>
      </c>
      <c r="B49" s="35"/>
      <c r="C49" s="35"/>
      <c r="D49" s="35"/>
      <c r="E49" s="35"/>
      <c r="F49" s="35"/>
      <c r="G49" s="35"/>
      <c r="H49" s="35"/>
      <c r="I49" s="54" t="n">
        <f aca="false">(SUM(I46:I48))</f>
        <v>1322.57554666667</v>
      </c>
      <c r="J49" s="44"/>
    </row>
    <row r="50" customFormat="false" ht="13.8" hidden="false" customHeight="false" outlineLevel="0" collapsed="false">
      <c r="A50" s="68"/>
      <c r="B50" s="68"/>
      <c r="C50" s="68"/>
      <c r="D50" s="68"/>
      <c r="E50" s="68"/>
      <c r="F50" s="68"/>
      <c r="G50" s="68"/>
      <c r="H50" s="68"/>
      <c r="I50" s="68"/>
      <c r="J50" s="44"/>
    </row>
    <row r="51" customFormat="false" ht="13.8" hidden="false" customHeight="false" outlineLevel="0" collapsed="false">
      <c r="A51" s="45" t="s">
        <v>84</v>
      </c>
      <c r="B51" s="45"/>
      <c r="C51" s="45"/>
      <c r="D51" s="45"/>
      <c r="E51" s="45"/>
      <c r="F51" s="45"/>
      <c r="G51" s="45"/>
      <c r="H51" s="45"/>
      <c r="I51" s="45"/>
      <c r="J51" s="44"/>
    </row>
    <row r="52" customFormat="false" ht="13.8" hidden="false" customHeight="false" outlineLevel="0" collapsed="false">
      <c r="A52" s="32" t="s">
        <v>85</v>
      </c>
      <c r="B52" s="32" t="s">
        <v>86</v>
      </c>
      <c r="C52" s="32"/>
      <c r="D52" s="32"/>
      <c r="E52" s="32"/>
      <c r="F52" s="32"/>
      <c r="G52" s="32"/>
      <c r="H52" s="35" t="s">
        <v>38</v>
      </c>
      <c r="I52" s="35" t="s">
        <v>39</v>
      </c>
      <c r="J52" s="44"/>
    </row>
    <row r="53" customFormat="false" ht="13.8" hidden="false" customHeight="false" outlineLevel="0" collapsed="false">
      <c r="A53" s="35" t="s">
        <v>8</v>
      </c>
      <c r="B53" s="46" t="s">
        <v>87</v>
      </c>
      <c r="C53" s="46"/>
      <c r="D53" s="46"/>
      <c r="E53" s="46"/>
      <c r="F53" s="46"/>
      <c r="G53" s="46"/>
      <c r="H53" s="47"/>
      <c r="I53" s="48" t="n">
        <f aca="false">((I13+I49)-(I23+I24+I25+I27+I28+I29+I30))/12</f>
        <v>176.074122222222</v>
      </c>
      <c r="J53" s="44"/>
    </row>
    <row r="54" customFormat="false" ht="13.8" hidden="false" customHeight="false" outlineLevel="0" collapsed="false">
      <c r="A54" s="35" t="s">
        <v>10</v>
      </c>
      <c r="B54" s="46" t="s">
        <v>88</v>
      </c>
      <c r="C54" s="46"/>
      <c r="D54" s="46"/>
      <c r="E54" s="46"/>
      <c r="F54" s="46"/>
      <c r="G54" s="46"/>
      <c r="H54" s="47"/>
      <c r="I54" s="48" t="n">
        <f aca="false">I31*50%</f>
        <v>58.2897333333333</v>
      </c>
      <c r="J54" s="44"/>
    </row>
    <row r="55" customFormat="false" ht="13.8" hidden="false" customHeight="false" outlineLevel="0" collapsed="false">
      <c r="A55" s="35" t="s">
        <v>13</v>
      </c>
      <c r="B55" s="46" t="s">
        <v>89</v>
      </c>
      <c r="C55" s="46"/>
      <c r="D55" s="46"/>
      <c r="E55" s="46"/>
      <c r="F55" s="46"/>
      <c r="G55" s="46"/>
      <c r="H55" s="47" t="n">
        <v>0.7209</v>
      </c>
      <c r="I55" s="48" t="n">
        <f aca="false">(I54+I53)*H55</f>
        <v>168.95290347</v>
      </c>
      <c r="J55" s="44"/>
    </row>
    <row r="56" customFormat="false" ht="13.8" hidden="false" customHeight="false" outlineLevel="0" collapsed="false">
      <c r="A56" s="32" t="s">
        <v>90</v>
      </c>
      <c r="B56" s="32"/>
      <c r="C56" s="32"/>
      <c r="D56" s="32"/>
      <c r="E56" s="32"/>
      <c r="F56" s="32"/>
      <c r="G56" s="32"/>
      <c r="H56" s="47"/>
      <c r="I56" s="54" t="n">
        <f aca="false">I55</f>
        <v>168.95290347</v>
      </c>
      <c r="J56" s="44"/>
    </row>
    <row r="57" customFormat="false" ht="13.8" hidden="false" customHeight="false" outlineLevel="0" collapsed="false">
      <c r="A57" s="32"/>
      <c r="B57" s="32"/>
      <c r="C57" s="32"/>
      <c r="D57" s="32"/>
      <c r="E57" s="32"/>
      <c r="F57" s="32"/>
      <c r="G57" s="32"/>
      <c r="H57" s="32"/>
      <c r="I57" s="32"/>
      <c r="J57" s="44"/>
    </row>
    <row r="58" customFormat="false" ht="13.8" hidden="false" customHeight="false" outlineLevel="0" collapsed="false">
      <c r="A58" s="32" t="s">
        <v>91</v>
      </c>
      <c r="B58" s="32" t="s">
        <v>86</v>
      </c>
      <c r="C58" s="32"/>
      <c r="D58" s="32"/>
      <c r="E58" s="32"/>
      <c r="F58" s="32"/>
      <c r="G58" s="32"/>
      <c r="H58" s="35" t="s">
        <v>38</v>
      </c>
      <c r="I58" s="35" t="s">
        <v>39</v>
      </c>
      <c r="J58" s="44"/>
    </row>
    <row r="59" customFormat="false" ht="13.8" hidden="false" customHeight="false" outlineLevel="0" collapsed="false">
      <c r="A59" s="35" t="s">
        <v>8</v>
      </c>
      <c r="B59" s="46" t="s">
        <v>92</v>
      </c>
      <c r="C59" s="46"/>
      <c r="D59" s="46"/>
      <c r="E59" s="46"/>
      <c r="F59" s="46"/>
      <c r="G59" s="46"/>
      <c r="H59" s="47"/>
      <c r="I59" s="48" t="n">
        <f aca="false">(I13+I49)/12</f>
        <v>211.047962222222</v>
      </c>
      <c r="J59" s="44"/>
    </row>
    <row r="60" customFormat="false" ht="13.8" hidden="false" customHeight="false" outlineLevel="0" collapsed="false">
      <c r="A60" s="35" t="s">
        <v>10</v>
      </c>
      <c r="B60" s="46" t="s">
        <v>93</v>
      </c>
      <c r="C60" s="46"/>
      <c r="D60" s="46"/>
      <c r="E60" s="46"/>
      <c r="F60" s="46"/>
      <c r="G60" s="46"/>
      <c r="H60" s="47"/>
      <c r="I60" s="48" t="n">
        <f aca="false">I31*50%</f>
        <v>58.2897333333333</v>
      </c>
      <c r="J60" s="44"/>
    </row>
    <row r="61" customFormat="false" ht="13.8" hidden="false" customHeight="false" outlineLevel="0" collapsed="false">
      <c r="A61" s="35" t="s">
        <v>13</v>
      </c>
      <c r="B61" s="46" t="s">
        <v>94</v>
      </c>
      <c r="C61" s="46"/>
      <c r="D61" s="46"/>
      <c r="E61" s="46"/>
      <c r="F61" s="46"/>
      <c r="G61" s="46"/>
      <c r="H61" s="47" t="n">
        <v>0.0801</v>
      </c>
      <c r="I61" s="48" t="n">
        <f aca="false">(I60+I59)*H61</f>
        <v>21.573949414</v>
      </c>
      <c r="J61" s="44"/>
    </row>
    <row r="62" customFormat="false" ht="13.8" hidden="false" customHeight="false" outlineLevel="0" collapsed="false">
      <c r="A62" s="32" t="s">
        <v>95</v>
      </c>
      <c r="B62" s="32"/>
      <c r="C62" s="32"/>
      <c r="D62" s="32"/>
      <c r="E62" s="32"/>
      <c r="F62" s="32"/>
      <c r="G62" s="32"/>
      <c r="H62" s="47"/>
      <c r="I62" s="54" t="n">
        <f aca="false">I61</f>
        <v>21.573949414</v>
      </c>
      <c r="J62" s="44"/>
    </row>
    <row r="63" customFormat="false" ht="13.8" hidden="false" customHeight="false" outlineLevel="0" collapsed="false">
      <c r="A63" s="32"/>
      <c r="B63" s="32"/>
      <c r="C63" s="32"/>
      <c r="D63" s="32"/>
      <c r="E63" s="32"/>
      <c r="F63" s="32"/>
      <c r="G63" s="32"/>
      <c r="H63" s="32"/>
      <c r="I63" s="32"/>
      <c r="J63" s="44"/>
    </row>
    <row r="64" customFormat="false" ht="13.8" hidden="false" customHeight="false" outlineLevel="0" collapsed="false">
      <c r="A64" s="32" t="s">
        <v>96</v>
      </c>
      <c r="B64" s="32" t="s">
        <v>86</v>
      </c>
      <c r="C64" s="32"/>
      <c r="D64" s="32"/>
      <c r="E64" s="32"/>
      <c r="F64" s="32"/>
      <c r="G64" s="32"/>
      <c r="H64" s="35" t="s">
        <v>38</v>
      </c>
      <c r="I64" s="35" t="s">
        <v>39</v>
      </c>
      <c r="J64" s="44"/>
    </row>
    <row r="65" customFormat="false" ht="13.8" hidden="false" customHeight="false" outlineLevel="0" collapsed="false">
      <c r="A65" s="35" t="s">
        <v>8</v>
      </c>
      <c r="B65" s="46" t="s">
        <v>97</v>
      </c>
      <c r="C65" s="46"/>
      <c r="D65" s="46"/>
      <c r="E65" s="46"/>
      <c r="F65" s="46"/>
      <c r="G65" s="46"/>
      <c r="H65" s="47"/>
      <c r="I65" s="48" t="n">
        <f aca="false">-(I17+I18+I19)</f>
        <v>-247.243333333333</v>
      </c>
      <c r="J65" s="44"/>
    </row>
    <row r="66" customFormat="false" ht="13.8" hidden="false" customHeight="false" outlineLevel="0" collapsed="false">
      <c r="A66" s="35" t="s">
        <v>10</v>
      </c>
      <c r="B66" s="46" t="s">
        <v>98</v>
      </c>
      <c r="C66" s="46"/>
      <c r="D66" s="46"/>
      <c r="E66" s="46"/>
      <c r="F66" s="46"/>
      <c r="G66" s="46"/>
      <c r="H66" s="47" t="n">
        <v>0.0328</v>
      </c>
      <c r="I66" s="48" t="n">
        <f aca="false">I65*H66</f>
        <v>-8.10958133333332</v>
      </c>
      <c r="J66" s="44"/>
    </row>
    <row r="67" customFormat="false" ht="13.8" hidden="false" customHeight="false" outlineLevel="0" collapsed="false">
      <c r="A67" s="32" t="s">
        <v>99</v>
      </c>
      <c r="B67" s="32"/>
      <c r="C67" s="32"/>
      <c r="D67" s="32"/>
      <c r="E67" s="32"/>
      <c r="F67" s="32"/>
      <c r="G67" s="32"/>
      <c r="H67" s="47"/>
      <c r="I67" s="48" t="n">
        <f aca="false">I66</f>
        <v>-8.10958133333332</v>
      </c>
      <c r="J67" s="44"/>
    </row>
    <row r="68" customFormat="false" ht="13.8" hidden="false" customHeight="false" outlineLevel="0" collapsed="false">
      <c r="A68" s="32"/>
      <c r="B68" s="32"/>
      <c r="C68" s="32"/>
      <c r="D68" s="32"/>
      <c r="E68" s="32"/>
      <c r="F68" s="32"/>
      <c r="G68" s="32"/>
      <c r="H68" s="32"/>
      <c r="I68" s="32"/>
      <c r="J68" s="44"/>
    </row>
    <row r="69" customFormat="false" ht="13.8" hidden="false" customHeight="false" outlineLevel="0" collapsed="false">
      <c r="A69" s="67" t="s">
        <v>100</v>
      </c>
      <c r="B69" s="67"/>
      <c r="C69" s="67"/>
      <c r="D69" s="67"/>
      <c r="E69" s="67"/>
      <c r="F69" s="67"/>
      <c r="G69" s="67"/>
      <c r="H69" s="67"/>
      <c r="I69" s="67"/>
      <c r="J69" s="44"/>
    </row>
    <row r="70" customFormat="false" ht="13.8" hidden="false" customHeight="false" outlineLevel="0" collapsed="false">
      <c r="A70" s="32" t="s">
        <v>101</v>
      </c>
      <c r="B70" s="32"/>
      <c r="C70" s="32"/>
      <c r="D70" s="32"/>
      <c r="E70" s="32"/>
      <c r="F70" s="32"/>
      <c r="G70" s="32"/>
      <c r="H70" s="32"/>
      <c r="I70" s="37" t="s">
        <v>39</v>
      </c>
      <c r="J70" s="44"/>
    </row>
    <row r="71" customFormat="false" ht="13.8" hidden="false" customHeight="false" outlineLevel="0" collapsed="false">
      <c r="A71" s="35" t="s">
        <v>102</v>
      </c>
      <c r="B71" s="52" t="s">
        <v>89</v>
      </c>
      <c r="C71" s="52"/>
      <c r="D71" s="52"/>
      <c r="E71" s="52"/>
      <c r="F71" s="52"/>
      <c r="G71" s="52"/>
      <c r="H71" s="52"/>
      <c r="I71" s="54" t="n">
        <f aca="false">I56</f>
        <v>168.95290347</v>
      </c>
      <c r="J71" s="44"/>
    </row>
    <row r="72" customFormat="false" ht="13.8" hidden="false" customHeight="false" outlineLevel="0" collapsed="false">
      <c r="A72" s="35" t="s">
        <v>103</v>
      </c>
      <c r="B72" s="52" t="s">
        <v>94</v>
      </c>
      <c r="C72" s="52"/>
      <c r="D72" s="52"/>
      <c r="E72" s="52"/>
      <c r="F72" s="52"/>
      <c r="G72" s="52"/>
      <c r="H72" s="52"/>
      <c r="I72" s="54" t="n">
        <f aca="false">I62</f>
        <v>21.573949414</v>
      </c>
      <c r="J72" s="44"/>
    </row>
    <row r="73" customFormat="false" ht="13.8" hidden="false" customHeight="false" outlineLevel="0" collapsed="false">
      <c r="A73" s="35" t="s">
        <v>104</v>
      </c>
      <c r="B73" s="52" t="s">
        <v>98</v>
      </c>
      <c r="C73" s="52"/>
      <c r="D73" s="52"/>
      <c r="E73" s="52"/>
      <c r="F73" s="52"/>
      <c r="G73" s="52"/>
      <c r="H73" s="52"/>
      <c r="I73" s="54" t="n">
        <f aca="false">I67</f>
        <v>-8.10958133333332</v>
      </c>
      <c r="J73" s="44"/>
    </row>
    <row r="74" customFormat="false" ht="13.8" hidden="false" customHeight="false" outlineLevel="0" collapsed="false">
      <c r="A74" s="35" t="s">
        <v>105</v>
      </c>
      <c r="B74" s="35"/>
      <c r="C74" s="35"/>
      <c r="D74" s="35"/>
      <c r="E74" s="35"/>
      <c r="F74" s="35"/>
      <c r="G74" s="35"/>
      <c r="H74" s="35"/>
      <c r="I74" s="54" t="n">
        <f aca="false">SUM(I71:I73)</f>
        <v>182.417271550667</v>
      </c>
      <c r="J74" s="44"/>
    </row>
    <row r="75" customFormat="false" ht="13.8" hidden="false" customHeight="false" outlineLevel="0" collapsed="false">
      <c r="A75" s="69"/>
      <c r="B75" s="69"/>
      <c r="C75" s="69"/>
      <c r="D75" s="69"/>
      <c r="E75" s="69"/>
      <c r="F75" s="69"/>
      <c r="G75" s="69"/>
      <c r="H75" s="69"/>
      <c r="I75" s="69"/>
      <c r="J75" s="44"/>
    </row>
    <row r="76" customFormat="false" ht="13.8" hidden="false" customHeight="false" outlineLevel="0" collapsed="false">
      <c r="A76" s="45" t="s">
        <v>106</v>
      </c>
      <c r="B76" s="45"/>
      <c r="C76" s="45"/>
      <c r="D76" s="45"/>
      <c r="E76" s="45"/>
      <c r="F76" s="45"/>
      <c r="G76" s="45"/>
      <c r="H76" s="45"/>
      <c r="I76" s="45"/>
      <c r="J76" s="44"/>
    </row>
    <row r="77" customFormat="false" ht="12.8" hidden="false" customHeight="true" outlineLevel="0" collapsed="false">
      <c r="A77" s="32" t="s">
        <v>107</v>
      </c>
      <c r="B77" s="32"/>
      <c r="C77" s="32"/>
      <c r="D77" s="32"/>
      <c r="E77" s="32"/>
      <c r="F77" s="32"/>
      <c r="G77" s="32"/>
      <c r="H77" s="70" t="s">
        <v>108</v>
      </c>
      <c r="I77" s="70" t="s">
        <v>109</v>
      </c>
      <c r="J77" s="44"/>
    </row>
    <row r="78" customFormat="false" ht="12.8" hidden="false" customHeight="false" outlineLevel="0" collapsed="false">
      <c r="A78" s="32"/>
      <c r="B78" s="32"/>
      <c r="C78" s="32"/>
      <c r="D78" s="32"/>
      <c r="E78" s="32"/>
      <c r="F78" s="32"/>
      <c r="G78" s="32"/>
      <c r="H78" s="70"/>
      <c r="I78" s="70"/>
      <c r="J78" s="44"/>
    </row>
    <row r="79" customFormat="false" ht="13.8" hidden="false" customHeight="false" outlineLevel="0" collapsed="false">
      <c r="A79" s="35" t="s">
        <v>8</v>
      </c>
      <c r="B79" s="46" t="s">
        <v>110</v>
      </c>
      <c r="C79" s="46"/>
      <c r="D79" s="46"/>
      <c r="E79" s="46"/>
      <c r="F79" s="46"/>
      <c r="G79" s="46"/>
      <c r="H79" s="47" t="n">
        <v>0.6904</v>
      </c>
      <c r="I79" s="71" t="n">
        <f aca="false">(1*30)*H79</f>
        <v>20.712</v>
      </c>
      <c r="J79" s="44"/>
    </row>
    <row r="80" customFormat="false" ht="13.8" hidden="false" customHeight="false" outlineLevel="0" collapsed="false">
      <c r="A80" s="35" t="s">
        <v>10</v>
      </c>
      <c r="B80" s="46" t="s">
        <v>111</v>
      </c>
      <c r="C80" s="46"/>
      <c r="D80" s="46"/>
      <c r="E80" s="46"/>
      <c r="F80" s="46"/>
      <c r="G80" s="46"/>
      <c r="H80" s="47" t="n">
        <v>1</v>
      </c>
      <c r="I80" s="71" t="n">
        <f aca="false">(1*1)*H80</f>
        <v>1</v>
      </c>
      <c r="J80" s="44"/>
    </row>
    <row r="81" customFormat="false" ht="13.8" hidden="false" customHeight="false" outlineLevel="0" collapsed="false">
      <c r="A81" s="35" t="s">
        <v>13</v>
      </c>
      <c r="B81" s="46" t="s">
        <v>112</v>
      </c>
      <c r="C81" s="46"/>
      <c r="D81" s="46"/>
      <c r="E81" s="46"/>
      <c r="F81" s="46"/>
      <c r="G81" s="46"/>
      <c r="H81" s="47" t="n">
        <v>0.6904</v>
      </c>
      <c r="I81" s="71" t="n">
        <f aca="false">(0.0922*15)*H81</f>
        <v>0.9548232</v>
      </c>
      <c r="J81" s="44"/>
    </row>
    <row r="82" customFormat="false" ht="13.8" hidden="false" customHeight="false" outlineLevel="0" collapsed="false">
      <c r="A82" s="35" t="s">
        <v>16</v>
      </c>
      <c r="B82" s="46" t="s">
        <v>113</v>
      </c>
      <c r="C82" s="46"/>
      <c r="D82" s="46"/>
      <c r="E82" s="46"/>
      <c r="F82" s="46"/>
      <c r="G82" s="46"/>
      <c r="H82" s="47" t="n">
        <v>0.6904</v>
      </c>
      <c r="I82" s="71" t="n">
        <f aca="false">(1*5)*H82</f>
        <v>3.452</v>
      </c>
      <c r="J82" s="44"/>
    </row>
    <row r="83" customFormat="false" ht="13.8" hidden="false" customHeight="false" outlineLevel="0" collapsed="false">
      <c r="A83" s="35" t="s">
        <v>55</v>
      </c>
      <c r="B83" s="46" t="s">
        <v>114</v>
      </c>
      <c r="C83" s="46"/>
      <c r="D83" s="46"/>
      <c r="E83" s="46"/>
      <c r="F83" s="46"/>
      <c r="G83" s="46"/>
      <c r="H83" s="47" t="n">
        <v>1</v>
      </c>
      <c r="I83" s="71" t="n">
        <f aca="false">(0.1522*2)*H83</f>
        <v>0.3044</v>
      </c>
      <c r="J83" s="44"/>
    </row>
    <row r="84" customFormat="false" ht="13.8" hidden="false" customHeight="false" outlineLevel="0" collapsed="false">
      <c r="A84" s="35" t="s">
        <v>57</v>
      </c>
      <c r="B84" s="46" t="s">
        <v>115</v>
      </c>
      <c r="C84" s="46"/>
      <c r="D84" s="46"/>
      <c r="E84" s="46"/>
      <c r="F84" s="46"/>
      <c r="G84" s="46"/>
      <c r="H84" s="47" t="n">
        <v>0.6904</v>
      </c>
      <c r="I84" s="71" t="n">
        <f aca="false">(0.0309*2)*H84</f>
        <v>0.04266672</v>
      </c>
      <c r="J84" s="44"/>
    </row>
    <row r="85" customFormat="false" ht="13.8" hidden="false" customHeight="false" outlineLevel="0" collapsed="false">
      <c r="A85" s="35" t="s">
        <v>59</v>
      </c>
      <c r="B85" s="46" t="s">
        <v>116</v>
      </c>
      <c r="C85" s="46"/>
      <c r="D85" s="46"/>
      <c r="E85" s="46"/>
      <c r="F85" s="46"/>
      <c r="G85" s="46"/>
      <c r="H85" s="47" t="n">
        <v>1</v>
      </c>
      <c r="I85" s="71" t="n">
        <f aca="false">(0.0123*3)*H85</f>
        <v>0.0369</v>
      </c>
      <c r="J85" s="44"/>
    </row>
    <row r="86" customFormat="false" ht="13.8" hidden="false" customHeight="false" outlineLevel="0" collapsed="false">
      <c r="A86" s="35" t="s">
        <v>61</v>
      </c>
      <c r="B86" s="46" t="s">
        <v>117</v>
      </c>
      <c r="C86" s="46"/>
      <c r="D86" s="46"/>
      <c r="E86" s="46"/>
      <c r="F86" s="46"/>
      <c r="G86" s="46"/>
      <c r="H86" s="47" t="n">
        <v>1</v>
      </c>
      <c r="I86" s="71" t="n">
        <f aca="false">(0.02*1)*H86</f>
        <v>0.02</v>
      </c>
      <c r="J86" s="44"/>
    </row>
    <row r="87" customFormat="false" ht="13.8" hidden="false" customHeight="false" outlineLevel="0" collapsed="false">
      <c r="A87" s="35" t="s">
        <v>118</v>
      </c>
      <c r="B87" s="46" t="s">
        <v>119</v>
      </c>
      <c r="C87" s="46"/>
      <c r="D87" s="46"/>
      <c r="E87" s="46"/>
      <c r="F87" s="46"/>
      <c r="G87" s="46"/>
      <c r="H87" s="47" t="n">
        <v>1</v>
      </c>
      <c r="I87" s="71" t="n">
        <f aca="false">(0.004*1)*H87</f>
        <v>0.004</v>
      </c>
      <c r="J87" s="44"/>
    </row>
    <row r="88" customFormat="false" ht="13.8" hidden="false" customHeight="false" outlineLevel="0" collapsed="false">
      <c r="A88" s="35" t="s">
        <v>120</v>
      </c>
      <c r="B88" s="46" t="s">
        <v>121</v>
      </c>
      <c r="C88" s="46"/>
      <c r="D88" s="46"/>
      <c r="E88" s="46"/>
      <c r="F88" s="46"/>
      <c r="G88" s="46"/>
      <c r="H88" s="47" t="n">
        <v>0.6904</v>
      </c>
      <c r="I88" s="71" t="n">
        <f aca="false">(0.0137*20)*H88</f>
        <v>0.1891696</v>
      </c>
      <c r="J88" s="44"/>
    </row>
    <row r="89" customFormat="false" ht="13.8" hidden="false" customHeight="false" outlineLevel="0" collapsed="false">
      <c r="A89" s="35" t="s">
        <v>122</v>
      </c>
      <c r="B89" s="46" t="s">
        <v>123</v>
      </c>
      <c r="C89" s="46"/>
      <c r="D89" s="46"/>
      <c r="E89" s="46"/>
      <c r="F89" s="46"/>
      <c r="G89" s="46"/>
      <c r="H89" s="47" t="n">
        <v>0.6904</v>
      </c>
      <c r="I89" s="71" t="n">
        <f aca="false">(0.0199*180)*H89</f>
        <v>2.4730128</v>
      </c>
      <c r="J89" s="44"/>
    </row>
    <row r="90" customFormat="false" ht="13.8" hidden="false" customHeight="false" outlineLevel="0" collapsed="false">
      <c r="A90" s="35" t="s">
        <v>124</v>
      </c>
      <c r="B90" s="46" t="s">
        <v>125</v>
      </c>
      <c r="C90" s="46"/>
      <c r="D90" s="46"/>
      <c r="E90" s="46"/>
      <c r="F90" s="46"/>
      <c r="G90" s="46"/>
      <c r="H90" s="47" t="n">
        <v>1</v>
      </c>
      <c r="I90" s="71" t="n">
        <f aca="false">(0.002*6)*H90</f>
        <v>0.012</v>
      </c>
      <c r="J90" s="44"/>
    </row>
    <row r="91" customFormat="false" ht="13.8" hidden="false" customHeight="false" outlineLevel="0" collapsed="false">
      <c r="A91" s="35" t="s">
        <v>126</v>
      </c>
      <c r="B91" s="35"/>
      <c r="C91" s="35"/>
      <c r="D91" s="35"/>
      <c r="E91" s="35"/>
      <c r="F91" s="35"/>
      <c r="G91" s="35"/>
      <c r="H91" s="53" t="n">
        <f aca="false">(SUM(H79:H90))</f>
        <v>10.1424</v>
      </c>
      <c r="I91" s="72" t="n">
        <f aca="false">(SUM(I79:I90))</f>
        <v>29.20097232</v>
      </c>
      <c r="J91" s="44"/>
    </row>
    <row r="92" customFormat="false" ht="13.8" hidden="false" customHeight="false" outlineLevel="0" collapsed="false">
      <c r="A92" s="73"/>
      <c r="B92" s="73"/>
      <c r="C92" s="73"/>
      <c r="D92" s="73"/>
      <c r="E92" s="73"/>
      <c r="F92" s="73"/>
      <c r="G92" s="73"/>
      <c r="H92" s="73"/>
      <c r="I92" s="73"/>
      <c r="J92" s="44"/>
    </row>
    <row r="93" customFormat="false" ht="13.8" hidden="false" customHeight="false" outlineLevel="0" collapsed="false">
      <c r="A93" s="32" t="s">
        <v>127</v>
      </c>
      <c r="B93" s="32"/>
      <c r="C93" s="32"/>
      <c r="D93" s="32"/>
      <c r="E93" s="32"/>
      <c r="F93" s="32"/>
      <c r="G93" s="35" t="s">
        <v>128</v>
      </c>
      <c r="H93" s="35" t="s">
        <v>129</v>
      </c>
      <c r="I93" s="35" t="s">
        <v>39</v>
      </c>
      <c r="J93" s="44"/>
    </row>
    <row r="94" customFormat="false" ht="13.8" hidden="false" customHeight="false" outlineLevel="0" collapsed="false">
      <c r="A94" s="35" t="s">
        <v>8</v>
      </c>
      <c r="B94" s="52" t="str">
        <f aca="false">H5</f>
        <v>Auxiliar de Almoxarifado</v>
      </c>
      <c r="C94" s="52"/>
      <c r="D94" s="52"/>
      <c r="E94" s="52"/>
      <c r="F94" s="52"/>
      <c r="G94" s="65" t="n">
        <f aca="false">I13+I49+I59</f>
        <v>2743.62350888889</v>
      </c>
      <c r="H94" s="61" t="n">
        <v>30</v>
      </c>
      <c r="I94" s="48" t="n">
        <f aca="false">G94/H94</f>
        <v>91.454116962963</v>
      </c>
      <c r="J94" s="44"/>
    </row>
    <row r="95" customFormat="false" ht="13.8" hidden="false" customHeight="false" outlineLevel="0" collapsed="false">
      <c r="A95" s="35" t="s">
        <v>130</v>
      </c>
      <c r="B95" s="35"/>
      <c r="C95" s="35"/>
      <c r="D95" s="35"/>
      <c r="E95" s="35"/>
      <c r="F95" s="35"/>
      <c r="G95" s="35"/>
      <c r="H95" s="35"/>
      <c r="I95" s="54" t="n">
        <f aca="false">SUM(I94)</f>
        <v>91.454116962963</v>
      </c>
      <c r="J95" s="44"/>
    </row>
    <row r="96" customFormat="false" ht="13.8" hidden="false" customHeight="false" outlineLevel="0" collapsed="false">
      <c r="A96" s="74"/>
      <c r="B96" s="74"/>
      <c r="C96" s="74"/>
      <c r="D96" s="74"/>
      <c r="E96" s="74"/>
      <c r="F96" s="74"/>
      <c r="G96" s="74"/>
      <c r="H96" s="74"/>
      <c r="I96" s="74"/>
      <c r="J96" s="44"/>
    </row>
    <row r="97" customFormat="false" ht="13.8" hidden="false" customHeight="false" outlineLevel="0" collapsed="false">
      <c r="A97" s="74" t="s">
        <v>131</v>
      </c>
      <c r="B97" s="74"/>
      <c r="C97" s="74"/>
      <c r="D97" s="74"/>
      <c r="E97" s="74"/>
      <c r="F97" s="74"/>
      <c r="G97" s="74"/>
      <c r="H97" s="74"/>
      <c r="I97" s="74"/>
      <c r="J97" s="44"/>
    </row>
    <row r="98" customFormat="false" ht="13.8" hidden="false" customHeight="false" outlineLevel="0" collapsed="false">
      <c r="A98" s="75"/>
      <c r="B98" s="75" t="s">
        <v>132</v>
      </c>
      <c r="C98" s="75"/>
      <c r="D98" s="75"/>
      <c r="E98" s="75"/>
      <c r="F98" s="76" t="s">
        <v>130</v>
      </c>
      <c r="G98" s="76" t="s">
        <v>109</v>
      </c>
      <c r="H98" s="76" t="s">
        <v>133</v>
      </c>
      <c r="I98" s="76" t="s">
        <v>39</v>
      </c>
      <c r="J98" s="44"/>
    </row>
    <row r="99" customFormat="false" ht="13.8" hidden="false" customHeight="false" outlineLevel="0" collapsed="false">
      <c r="A99" s="75" t="s">
        <v>8</v>
      </c>
      <c r="B99" s="77" t="str">
        <f aca="false">H5</f>
        <v>Auxiliar de Almoxarifado</v>
      </c>
      <c r="C99" s="77"/>
      <c r="D99" s="77"/>
      <c r="E99" s="77"/>
      <c r="F99" s="78" t="n">
        <f aca="false">I95</f>
        <v>91.454116962963</v>
      </c>
      <c r="G99" s="79" t="n">
        <f aca="false">I91</f>
        <v>29.20097232</v>
      </c>
      <c r="H99" s="78" t="n">
        <f aca="false">G99*F99</f>
        <v>2670.54913798552</v>
      </c>
      <c r="I99" s="78" t="n">
        <f aca="false">H99/12</f>
        <v>222.545761498794</v>
      </c>
      <c r="J99" s="44"/>
    </row>
    <row r="100" customFormat="false" ht="13.8" hidden="false" customHeight="false" outlineLevel="0" collapsed="false">
      <c r="A100" s="75"/>
      <c r="B100" s="75" t="s">
        <v>134</v>
      </c>
      <c r="C100" s="75"/>
      <c r="D100" s="75"/>
      <c r="E100" s="75"/>
      <c r="F100" s="75"/>
      <c r="G100" s="75"/>
      <c r="H100" s="75"/>
      <c r="I100" s="80" t="n">
        <f aca="false">I99</f>
        <v>222.545761498794</v>
      </c>
      <c r="J100" s="44"/>
    </row>
    <row r="101" customFormat="false" ht="13.8" hidden="false" customHeight="false" outlineLevel="0" collapsed="false">
      <c r="A101" s="81"/>
      <c r="B101" s="81"/>
      <c r="C101" s="81"/>
      <c r="D101" s="81"/>
      <c r="E101" s="81"/>
      <c r="F101" s="81"/>
      <c r="G101" s="81"/>
      <c r="H101" s="81"/>
      <c r="I101" s="81"/>
      <c r="J101" s="44"/>
    </row>
    <row r="102" customFormat="false" ht="13.8" hidden="false" customHeight="false" outlineLevel="0" collapsed="false">
      <c r="A102" s="67" t="s">
        <v>135</v>
      </c>
      <c r="B102" s="67"/>
      <c r="C102" s="67"/>
      <c r="D102" s="67"/>
      <c r="E102" s="67"/>
      <c r="F102" s="67"/>
      <c r="G102" s="67"/>
      <c r="H102" s="67"/>
      <c r="I102" s="67"/>
      <c r="J102" s="44"/>
    </row>
    <row r="103" customFormat="false" ht="13.8" hidden="false" customHeight="false" outlineLevel="0" collapsed="false">
      <c r="A103" s="35" t="s">
        <v>136</v>
      </c>
      <c r="B103" s="35"/>
      <c r="C103" s="35"/>
      <c r="D103" s="35"/>
      <c r="E103" s="35"/>
      <c r="F103" s="35"/>
      <c r="G103" s="35"/>
      <c r="H103" s="35"/>
      <c r="I103" s="35" t="s">
        <v>39</v>
      </c>
      <c r="J103" s="44"/>
    </row>
    <row r="104" customFormat="false" ht="13.8" hidden="false" customHeight="false" outlineLevel="0" collapsed="false">
      <c r="A104" s="35" t="s">
        <v>137</v>
      </c>
      <c r="B104" s="46" t="s">
        <v>138</v>
      </c>
      <c r="C104" s="46"/>
      <c r="D104" s="46"/>
      <c r="E104" s="46"/>
      <c r="F104" s="46"/>
      <c r="G104" s="46"/>
      <c r="H104" s="46"/>
      <c r="I104" s="48" t="n">
        <f aca="false">I100</f>
        <v>222.545761498794</v>
      </c>
      <c r="J104" s="44"/>
    </row>
    <row r="105" customFormat="false" ht="13.8" hidden="false" customHeight="false" outlineLevel="0" collapsed="false">
      <c r="A105" s="35" t="s">
        <v>139</v>
      </c>
      <c r="B105" s="35"/>
      <c r="C105" s="35"/>
      <c r="D105" s="35"/>
      <c r="E105" s="35"/>
      <c r="F105" s="35"/>
      <c r="G105" s="35"/>
      <c r="H105" s="35"/>
      <c r="I105" s="54" t="n">
        <f aca="false">SUM(I104:I104)</f>
        <v>222.545761498794</v>
      </c>
      <c r="J105" s="44"/>
    </row>
    <row r="106" customFormat="false" ht="13.8" hidden="false" customHeight="false" outlineLevel="0" collapsed="false">
      <c r="A106" s="68"/>
      <c r="B106" s="68"/>
      <c r="C106" s="68"/>
      <c r="D106" s="68"/>
      <c r="E106" s="68"/>
      <c r="F106" s="68"/>
      <c r="G106" s="68"/>
      <c r="H106" s="68"/>
      <c r="I106" s="68"/>
      <c r="J106" s="44"/>
    </row>
    <row r="107" customFormat="false" ht="13.8" hidden="false" customHeight="false" outlineLevel="0" collapsed="false">
      <c r="A107" s="45" t="s">
        <v>140</v>
      </c>
      <c r="B107" s="45"/>
      <c r="C107" s="45"/>
      <c r="D107" s="45"/>
      <c r="E107" s="45"/>
      <c r="F107" s="45"/>
      <c r="G107" s="45"/>
      <c r="H107" s="45"/>
      <c r="I107" s="45"/>
      <c r="J107" s="44"/>
      <c r="K107" s="82"/>
    </row>
    <row r="108" customFormat="false" ht="13.8" hidden="false" customHeight="false" outlineLevel="0" collapsed="false">
      <c r="A108" s="35" t="n">
        <v>5</v>
      </c>
      <c r="B108" s="35" t="s">
        <v>141</v>
      </c>
      <c r="C108" s="35"/>
      <c r="D108" s="35"/>
      <c r="E108" s="35"/>
      <c r="F108" s="35"/>
      <c r="G108" s="35"/>
      <c r="H108" s="35"/>
      <c r="I108" s="35" t="s">
        <v>39</v>
      </c>
      <c r="J108" s="44"/>
    </row>
    <row r="109" customFormat="false" ht="13.8" hidden="false" customHeight="false" outlineLevel="0" collapsed="false">
      <c r="A109" s="35" t="s">
        <v>8</v>
      </c>
      <c r="B109" s="66" t="s">
        <v>142</v>
      </c>
      <c r="C109" s="66"/>
      <c r="D109" s="66"/>
      <c r="E109" s="66"/>
      <c r="F109" s="66"/>
      <c r="G109" s="66"/>
      <c r="H109" s="61" t="s">
        <v>70</v>
      </c>
      <c r="I109" s="48" t="n">
        <f aca="false">Uniformes!G14</f>
        <v>45.8116666666667</v>
      </c>
      <c r="J109" s="44"/>
    </row>
    <row r="110" customFormat="false" ht="13.8" hidden="false" customHeight="false" outlineLevel="0" collapsed="false">
      <c r="A110" s="35" t="s">
        <v>10</v>
      </c>
      <c r="B110" s="66" t="s">
        <v>143</v>
      </c>
      <c r="C110" s="66"/>
      <c r="D110" s="66"/>
      <c r="E110" s="66"/>
      <c r="F110" s="66"/>
      <c r="G110" s="66"/>
      <c r="H110" s="61" t="s">
        <v>70</v>
      </c>
      <c r="I110" s="48" t="n">
        <f aca="false">EPIs!G11</f>
        <v>9.68833333333333</v>
      </c>
    </row>
    <row r="111" customFormat="false" ht="13.8" hidden="false" customHeight="false" outlineLevel="0" collapsed="false">
      <c r="A111" s="83" t="s">
        <v>13</v>
      </c>
      <c r="B111" s="66" t="s">
        <v>144</v>
      </c>
      <c r="C111" s="66"/>
      <c r="D111" s="66"/>
      <c r="E111" s="66"/>
      <c r="F111" s="66"/>
      <c r="G111" s="66"/>
      <c r="H111" s="61" t="s">
        <v>70</v>
      </c>
      <c r="I111" s="48" t="n">
        <v>0</v>
      </c>
      <c r="K111" s="84"/>
    </row>
    <row r="112" customFormat="false" ht="13.8" hidden="false" customHeight="false" outlineLevel="0" collapsed="false">
      <c r="A112" s="83" t="s">
        <v>16</v>
      </c>
      <c r="B112" s="66" t="s">
        <v>145</v>
      </c>
      <c r="C112" s="66"/>
      <c r="D112" s="66"/>
      <c r="E112" s="66"/>
      <c r="F112" s="66"/>
      <c r="G112" s="66"/>
      <c r="H112" s="61" t="s">
        <v>70</v>
      </c>
      <c r="I112" s="48" t="n">
        <v>0</v>
      </c>
    </row>
    <row r="113" customFormat="false" ht="13.8" hidden="false" customHeight="false" outlineLevel="0" collapsed="false">
      <c r="A113" s="83" t="s">
        <v>55</v>
      </c>
      <c r="B113" s="66" t="s">
        <v>146</v>
      </c>
      <c r="C113" s="66"/>
      <c r="D113" s="66"/>
      <c r="E113" s="66"/>
      <c r="F113" s="66"/>
      <c r="G113" s="66"/>
      <c r="H113" s="61" t="s">
        <v>70</v>
      </c>
      <c r="I113" s="48" t="n">
        <v>0</v>
      </c>
    </row>
    <row r="114" customFormat="false" ht="13.8" hidden="false" customHeight="false" outlineLevel="0" collapsed="false">
      <c r="A114" s="35" t="s">
        <v>147</v>
      </c>
      <c r="B114" s="35"/>
      <c r="C114" s="35"/>
      <c r="D114" s="35"/>
      <c r="E114" s="35"/>
      <c r="F114" s="35"/>
      <c r="G114" s="35"/>
      <c r="H114" s="53" t="s">
        <v>70</v>
      </c>
      <c r="I114" s="54" t="n">
        <f aca="false">SUM(I109:I113)</f>
        <v>55.5</v>
      </c>
    </row>
    <row r="115" customFormat="false" ht="13.8" hidden="false" customHeight="false" outlineLevel="0" collapsed="false">
      <c r="A115" s="68"/>
      <c r="B115" s="68"/>
      <c r="C115" s="68"/>
      <c r="D115" s="68"/>
      <c r="E115" s="68"/>
      <c r="F115" s="68"/>
      <c r="G115" s="68"/>
      <c r="H115" s="68"/>
      <c r="I115" s="68"/>
      <c r="K115" s="84"/>
    </row>
    <row r="116" customFormat="false" ht="13.8" hidden="false" customHeight="false" outlineLevel="0" collapsed="false">
      <c r="A116" s="45" t="s">
        <v>148</v>
      </c>
      <c r="B116" s="45"/>
      <c r="C116" s="45"/>
      <c r="D116" s="45"/>
      <c r="E116" s="45"/>
      <c r="F116" s="45"/>
      <c r="G116" s="45"/>
      <c r="H116" s="45"/>
      <c r="I116" s="45"/>
      <c r="K116" s="84"/>
    </row>
    <row r="117" customFormat="false" ht="13.8" hidden="false" customHeight="false" outlineLevel="0" collapsed="false">
      <c r="A117" s="35" t="n">
        <v>6</v>
      </c>
      <c r="B117" s="35" t="s">
        <v>149</v>
      </c>
      <c r="C117" s="35"/>
      <c r="D117" s="35"/>
      <c r="E117" s="35"/>
      <c r="F117" s="35"/>
      <c r="G117" s="35"/>
      <c r="H117" s="35" t="s">
        <v>38</v>
      </c>
      <c r="I117" s="35" t="s">
        <v>39</v>
      </c>
    </row>
    <row r="118" customFormat="false" ht="13.8" hidden="false" customHeight="false" outlineLevel="0" collapsed="false">
      <c r="A118" s="35" t="s">
        <v>8</v>
      </c>
      <c r="B118" s="46" t="s">
        <v>150</v>
      </c>
      <c r="C118" s="46"/>
      <c r="D118" s="46"/>
      <c r="E118" s="46"/>
      <c r="F118" s="46"/>
      <c r="G118" s="46"/>
      <c r="H118" s="47" t="n">
        <v>0.06</v>
      </c>
      <c r="I118" s="41" t="n">
        <f aca="false">H118*I133</f>
        <v>179.582314782968</v>
      </c>
      <c r="K118" s="85"/>
    </row>
    <row r="119" customFormat="false" ht="13.8" hidden="false" customHeight="false" outlineLevel="0" collapsed="false">
      <c r="A119" s="35" t="s">
        <v>10</v>
      </c>
      <c r="B119" s="46" t="s">
        <v>151</v>
      </c>
      <c r="C119" s="46"/>
      <c r="D119" s="46"/>
      <c r="E119" s="46"/>
      <c r="F119" s="46"/>
      <c r="G119" s="46"/>
      <c r="H119" s="47" t="n">
        <v>0.0679</v>
      </c>
      <c r="I119" s="41" t="n">
        <f aca="false">(H119*(I118+I133))</f>
        <v>215.420958736488</v>
      </c>
    </row>
    <row r="120" customFormat="false" ht="13.8" hidden="false" customHeight="false" outlineLevel="0" collapsed="false">
      <c r="A120" s="35" t="s">
        <v>13</v>
      </c>
      <c r="B120" s="32" t="s">
        <v>152</v>
      </c>
      <c r="C120" s="32"/>
      <c r="D120" s="32"/>
      <c r="E120" s="32" t="s">
        <v>128</v>
      </c>
      <c r="F120" s="32"/>
      <c r="G120" s="57" t="n">
        <f aca="false">(I133+I118+I119)</f>
        <v>3388.04185323558</v>
      </c>
      <c r="H120" s="86" t="n">
        <f aca="false">SUM(H121:H123)</f>
        <v>0.1325</v>
      </c>
      <c r="I120" s="41"/>
    </row>
    <row r="121" customFormat="false" ht="13.8" hidden="false" customHeight="false" outlineLevel="0" collapsed="false">
      <c r="A121" s="35" t="s">
        <v>153</v>
      </c>
      <c r="B121" s="46" t="s">
        <v>154</v>
      </c>
      <c r="C121" s="46"/>
      <c r="D121" s="46"/>
      <c r="E121" s="46"/>
      <c r="F121" s="46"/>
      <c r="G121" s="46"/>
      <c r="H121" s="86" t="n">
        <v>0.0165</v>
      </c>
      <c r="I121" s="48" t="n">
        <f aca="false">($G$120/(1-$H$120)*H121)</f>
        <v>64.4411418771033</v>
      </c>
    </row>
    <row r="122" customFormat="false" ht="13.8" hidden="false" customHeight="false" outlineLevel="0" collapsed="false">
      <c r="A122" s="35" t="s">
        <v>155</v>
      </c>
      <c r="B122" s="46" t="s">
        <v>156</v>
      </c>
      <c r="C122" s="46"/>
      <c r="D122" s="46"/>
      <c r="E122" s="46"/>
      <c r="F122" s="46"/>
      <c r="G122" s="46"/>
      <c r="H122" s="86" t="n">
        <v>0.076</v>
      </c>
      <c r="I122" s="48" t="n">
        <f aca="false">($G$120/(1-$H$120)*H122)</f>
        <v>296.819805009688</v>
      </c>
    </row>
    <row r="123" customFormat="false" ht="13.8" hidden="false" customHeight="false" outlineLevel="0" collapsed="false">
      <c r="A123" s="35" t="s">
        <v>157</v>
      </c>
      <c r="B123" s="46" t="s">
        <v>158</v>
      </c>
      <c r="C123" s="46"/>
      <c r="D123" s="46"/>
      <c r="E123" s="46"/>
      <c r="F123" s="46"/>
      <c r="G123" s="46"/>
      <c r="H123" s="86" t="n">
        <v>0.04</v>
      </c>
      <c r="I123" s="48" t="n">
        <f aca="false">($G$120/(1-$H$120)*H123)</f>
        <v>156.220950005099</v>
      </c>
    </row>
    <row r="124" customFormat="false" ht="13.8" hidden="false" customHeight="false" outlineLevel="0" collapsed="false">
      <c r="A124" s="35" t="s">
        <v>159</v>
      </c>
      <c r="B124" s="35"/>
      <c r="C124" s="35"/>
      <c r="D124" s="35"/>
      <c r="E124" s="35"/>
      <c r="F124" s="35"/>
      <c r="G124" s="35"/>
      <c r="H124" s="86" t="n">
        <f aca="false">H118+H119+H121+H122+H123</f>
        <v>0.2604</v>
      </c>
      <c r="I124" s="54" t="n">
        <f aca="false">SUM(I118+I119+I121+I122+I123)</f>
        <v>912.485170411346</v>
      </c>
    </row>
    <row r="125" customFormat="false" ht="13.8" hidden="false" customHeight="false" outlineLevel="0" collapsed="false">
      <c r="A125" s="32"/>
      <c r="B125" s="32"/>
      <c r="C125" s="32"/>
      <c r="D125" s="32"/>
      <c r="E125" s="32"/>
      <c r="F125" s="32"/>
      <c r="G125" s="32"/>
      <c r="H125" s="32"/>
      <c r="I125" s="32"/>
    </row>
    <row r="126" customFormat="false" ht="13.8" hidden="false" customHeight="false" outlineLevel="0" collapsed="false">
      <c r="A126" s="67" t="s">
        <v>27</v>
      </c>
      <c r="B126" s="67"/>
      <c r="C126" s="67"/>
      <c r="D126" s="67"/>
      <c r="E126" s="67"/>
      <c r="F126" s="67"/>
      <c r="G126" s="67"/>
      <c r="H126" s="67"/>
      <c r="I126" s="67"/>
    </row>
    <row r="127" customFormat="false" ht="13.8" hidden="false" customHeight="false" outlineLevel="0" collapsed="false">
      <c r="A127" s="35" t="s">
        <v>160</v>
      </c>
      <c r="B127" s="35"/>
      <c r="C127" s="35"/>
      <c r="D127" s="35"/>
      <c r="E127" s="35"/>
      <c r="F127" s="35"/>
      <c r="G127" s="35"/>
      <c r="H127" s="35"/>
      <c r="I127" s="35" t="s">
        <v>39</v>
      </c>
    </row>
    <row r="128" customFormat="false" ht="13.8" hidden="false" customHeight="false" outlineLevel="0" collapsed="false">
      <c r="A128" s="61" t="s">
        <v>8</v>
      </c>
      <c r="B128" s="46" t="s">
        <v>36</v>
      </c>
      <c r="C128" s="46"/>
      <c r="D128" s="46"/>
      <c r="E128" s="46"/>
      <c r="F128" s="46"/>
      <c r="G128" s="46"/>
      <c r="H128" s="46"/>
      <c r="I128" s="48" t="n">
        <f aca="false">I13</f>
        <v>1210</v>
      </c>
    </row>
    <row r="129" customFormat="false" ht="13.8" hidden="false" customHeight="false" outlineLevel="0" collapsed="false">
      <c r="A129" s="61" t="s">
        <v>10</v>
      </c>
      <c r="B129" s="46" t="str">
        <f aca="false">A15</f>
        <v>MÓDULO 2 – ENCARGOS E BENEFÍCIOS ANUAIS, MENSAIS E DIÁRIOS</v>
      </c>
      <c r="C129" s="46"/>
      <c r="D129" s="46"/>
      <c r="E129" s="46"/>
      <c r="F129" s="46"/>
      <c r="G129" s="46"/>
      <c r="H129" s="46"/>
      <c r="I129" s="48" t="n">
        <f aca="false">I49</f>
        <v>1322.57554666667</v>
      </c>
    </row>
    <row r="130" customFormat="false" ht="13.8" hidden="false" customHeight="false" outlineLevel="0" collapsed="false">
      <c r="A130" s="61" t="s">
        <v>13</v>
      </c>
      <c r="B130" s="46" t="str">
        <f aca="false">A51</f>
        <v>MÓDULO 3 – PROVISÃO PARA RESCISÃO</v>
      </c>
      <c r="C130" s="46"/>
      <c r="D130" s="46"/>
      <c r="E130" s="46"/>
      <c r="F130" s="46"/>
      <c r="G130" s="46"/>
      <c r="H130" s="46"/>
      <c r="I130" s="48" t="n">
        <f aca="false">I74</f>
        <v>182.417271550667</v>
      </c>
    </row>
    <row r="131" customFormat="false" ht="13.8" hidden="false" customHeight="false" outlineLevel="0" collapsed="false">
      <c r="A131" s="61" t="s">
        <v>16</v>
      </c>
      <c r="B131" s="46" t="str">
        <f aca="false">A76</f>
        <v>MÓDULO 4 – CUSTO DE REPOSIÇÃO DO PROFISSIONAL AUSENTE</v>
      </c>
      <c r="C131" s="46"/>
      <c r="D131" s="46"/>
      <c r="E131" s="46"/>
      <c r="F131" s="46"/>
      <c r="G131" s="46"/>
      <c r="H131" s="46"/>
      <c r="I131" s="48" t="n">
        <f aca="false">I105</f>
        <v>222.545761498794</v>
      </c>
    </row>
    <row r="132" customFormat="false" ht="13.8" hidden="false" customHeight="false" outlineLevel="0" collapsed="false">
      <c r="A132" s="61" t="s">
        <v>55</v>
      </c>
      <c r="B132" s="46" t="str">
        <f aca="false">A107</f>
        <v>MÓDULO 5 – INSUMOS DIVERSOS</v>
      </c>
      <c r="C132" s="46"/>
      <c r="D132" s="46"/>
      <c r="E132" s="46"/>
      <c r="F132" s="46"/>
      <c r="G132" s="46"/>
      <c r="H132" s="46"/>
      <c r="I132" s="48" t="n">
        <f aca="false">I114</f>
        <v>55.5</v>
      </c>
    </row>
    <row r="133" customFormat="false" ht="13.8" hidden="false" customHeight="false" outlineLevel="0" collapsed="false">
      <c r="A133" s="35"/>
      <c r="B133" s="35" t="s">
        <v>161</v>
      </c>
      <c r="C133" s="35"/>
      <c r="D133" s="35"/>
      <c r="E133" s="35"/>
      <c r="F133" s="35"/>
      <c r="G133" s="35"/>
      <c r="H133" s="35"/>
      <c r="I133" s="54" t="n">
        <f aca="false">SUM(I128:I132)</f>
        <v>2993.03857971613</v>
      </c>
    </row>
    <row r="134" customFormat="false" ht="13.8" hidden="false" customHeight="false" outlineLevel="0" collapsed="false">
      <c r="A134" s="61" t="s">
        <v>57</v>
      </c>
      <c r="B134" s="46" t="str">
        <f aca="false">A116</f>
        <v>MÓDULO 6 – CUSTOS INDIRETOS, TRIBUTOS E LUCRO</v>
      </c>
      <c r="C134" s="46"/>
      <c r="D134" s="46"/>
      <c r="E134" s="46"/>
      <c r="F134" s="46"/>
      <c r="G134" s="46"/>
      <c r="H134" s="46"/>
      <c r="I134" s="48" t="n">
        <f aca="false">I124</f>
        <v>912.485170411346</v>
      </c>
    </row>
    <row r="135" customFormat="false" ht="13.8" hidden="false" customHeight="false" outlineLevel="0" collapsed="false">
      <c r="A135" s="35" t="s">
        <v>162</v>
      </c>
      <c r="B135" s="35"/>
      <c r="C135" s="35"/>
      <c r="D135" s="35"/>
      <c r="E135" s="35"/>
      <c r="F135" s="35"/>
      <c r="G135" s="35"/>
      <c r="H135" s="35"/>
      <c r="I135" s="54" t="n">
        <f aca="false">ROUNDDOWN(SUM(I133:I134),2)</f>
        <v>3905.52</v>
      </c>
    </row>
  </sheetData>
  <mergeCells count="145">
    <mergeCell ref="A1:I1"/>
    <mergeCell ref="A2:I2"/>
    <mergeCell ref="A4:I4"/>
    <mergeCell ref="B5:G5"/>
    <mergeCell ref="H5:I5"/>
    <mergeCell ref="B6:G6"/>
    <mergeCell ref="H6:I6"/>
    <mergeCell ref="B7:G7"/>
    <mergeCell ref="H7:I7"/>
    <mergeCell ref="B8:G8"/>
    <mergeCell ref="H8:I8"/>
    <mergeCell ref="A9:I9"/>
    <mergeCell ref="A10:I10"/>
    <mergeCell ref="B11:G11"/>
    <mergeCell ref="B12:G12"/>
    <mergeCell ref="A13:H13"/>
    <mergeCell ref="A14:I14"/>
    <mergeCell ref="A15:I15"/>
    <mergeCell ref="A16:G16"/>
    <mergeCell ref="B17:G17"/>
    <mergeCell ref="B18:G18"/>
    <mergeCell ref="B19:G19"/>
    <mergeCell ref="A20:G20"/>
    <mergeCell ref="A21:I21"/>
    <mergeCell ref="A22:G22"/>
    <mergeCell ref="B23:G23"/>
    <mergeCell ref="B24:G24"/>
    <mergeCell ref="A25:A26"/>
    <mergeCell ref="B25:G25"/>
    <mergeCell ref="H25:H26"/>
    <mergeCell ref="I25:I26"/>
    <mergeCell ref="B27:G27"/>
    <mergeCell ref="B28:G28"/>
    <mergeCell ref="B29:G29"/>
    <mergeCell ref="B30:G30"/>
    <mergeCell ref="B31:G31"/>
    <mergeCell ref="A32:G32"/>
    <mergeCell ref="A33:I33"/>
    <mergeCell ref="A34:G34"/>
    <mergeCell ref="A35:A36"/>
    <mergeCell ref="B35:E36"/>
    <mergeCell ref="F35:G35"/>
    <mergeCell ref="I35:I36"/>
    <mergeCell ref="F36:G36"/>
    <mergeCell ref="B37:G37"/>
    <mergeCell ref="B38:G38"/>
    <mergeCell ref="B39:G39"/>
    <mergeCell ref="B40:G40"/>
    <mergeCell ref="B41:G41"/>
    <mergeCell ref="A42:H42"/>
    <mergeCell ref="A43:I43"/>
    <mergeCell ref="A44:I44"/>
    <mergeCell ref="A45:H45"/>
    <mergeCell ref="B46:H46"/>
    <mergeCell ref="B47:H47"/>
    <mergeCell ref="B48:H48"/>
    <mergeCell ref="A49:H49"/>
    <mergeCell ref="A50:I50"/>
    <mergeCell ref="A51:I51"/>
    <mergeCell ref="A52:G52"/>
    <mergeCell ref="B53:G53"/>
    <mergeCell ref="B54:G54"/>
    <mergeCell ref="B55:G55"/>
    <mergeCell ref="A56:G56"/>
    <mergeCell ref="A57:I57"/>
    <mergeCell ref="A58:G58"/>
    <mergeCell ref="B59:G59"/>
    <mergeCell ref="B60:G60"/>
    <mergeCell ref="B61:G61"/>
    <mergeCell ref="A62:G62"/>
    <mergeCell ref="A63:I63"/>
    <mergeCell ref="A64:G64"/>
    <mergeCell ref="B65:G65"/>
    <mergeCell ref="B66:G66"/>
    <mergeCell ref="A67:G67"/>
    <mergeCell ref="A68:I68"/>
    <mergeCell ref="A69:I69"/>
    <mergeCell ref="A70:H70"/>
    <mergeCell ref="B71:H71"/>
    <mergeCell ref="B72:H72"/>
    <mergeCell ref="B73:H73"/>
    <mergeCell ref="A74:H74"/>
    <mergeCell ref="A75:I75"/>
    <mergeCell ref="A76:I76"/>
    <mergeCell ref="A77:G78"/>
    <mergeCell ref="H77:H78"/>
    <mergeCell ref="I77:I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A91:G91"/>
    <mergeCell ref="A92:I92"/>
    <mergeCell ref="A93:F93"/>
    <mergeCell ref="B94:F94"/>
    <mergeCell ref="A95:G95"/>
    <mergeCell ref="A96:I96"/>
    <mergeCell ref="A97:I97"/>
    <mergeCell ref="B98:E98"/>
    <mergeCell ref="B99:E99"/>
    <mergeCell ref="B100:H100"/>
    <mergeCell ref="A101:I101"/>
    <mergeCell ref="A102:I102"/>
    <mergeCell ref="A103:H103"/>
    <mergeCell ref="B104:H104"/>
    <mergeCell ref="A105:H105"/>
    <mergeCell ref="A106:I106"/>
    <mergeCell ref="A107:I107"/>
    <mergeCell ref="B108:G108"/>
    <mergeCell ref="B109:G109"/>
    <mergeCell ref="B110:G110"/>
    <mergeCell ref="B111:G111"/>
    <mergeCell ref="B112:G112"/>
    <mergeCell ref="B113:G113"/>
    <mergeCell ref="A114:G114"/>
    <mergeCell ref="A115:I115"/>
    <mergeCell ref="A116:I116"/>
    <mergeCell ref="B117:G117"/>
    <mergeCell ref="B118:G118"/>
    <mergeCell ref="B119:G119"/>
    <mergeCell ref="B120:D120"/>
    <mergeCell ref="E120:F120"/>
    <mergeCell ref="B121:G121"/>
    <mergeCell ref="B122:G122"/>
    <mergeCell ref="B123:G123"/>
    <mergeCell ref="A124:G124"/>
    <mergeCell ref="A125:I125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A135:H13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35"/>
  <sheetViews>
    <sheetView showFormulas="false" showGridLines="true" showRowColHeaders="true" showZeros="true" rightToLeft="false" tabSelected="false" showOutlineSymbols="true" defaultGridColor="true" view="pageBreakPreview" topLeftCell="A95" colorId="64" zoomScale="100" zoomScaleNormal="81" zoomScalePageLayoutView="100" workbookViewId="0">
      <selection pane="topLeft" activeCell="I135" activeCellId="0" sqref="I135"/>
    </sheetView>
  </sheetViews>
  <sheetFormatPr defaultRowHeight="12.8" zeroHeight="false" outlineLevelRow="0" outlineLevelCol="0"/>
  <cols>
    <col collapsed="false" customWidth="true" hidden="false" outlineLevel="0" max="1" min="1" style="20" width="10"/>
    <col collapsed="false" customWidth="true" hidden="false" outlineLevel="0" max="4" min="2" style="20" width="8.67"/>
    <col collapsed="false" customWidth="true" hidden="false" outlineLevel="0" max="5" min="5" style="20" width="10.85"/>
    <col collapsed="false" customWidth="true" hidden="false" outlineLevel="0" max="6" min="6" style="20" width="12.64"/>
    <col collapsed="false" customWidth="true" hidden="false" outlineLevel="0" max="7" min="7" style="20" width="17.32"/>
    <col collapsed="false" customWidth="true" hidden="false" outlineLevel="0" max="8" min="8" style="20" width="11.38"/>
    <col collapsed="false" customWidth="true" hidden="false" outlineLevel="0" max="9" min="9" style="20" width="13.29"/>
    <col collapsed="false" customWidth="true" hidden="false" outlineLevel="0" max="10" min="10" style="20" width="5.01"/>
    <col collapsed="false" customWidth="true" hidden="false" outlineLevel="0" max="11" min="11" style="21" width="6.4"/>
    <col collapsed="false" customWidth="false" hidden="false" outlineLevel="0" max="12" min="12" style="20" width="11.52"/>
    <col collapsed="false" customWidth="true" hidden="false" outlineLevel="0" max="13" min="13" style="20" width="9.59"/>
    <col collapsed="false" customWidth="true" hidden="false" outlineLevel="0" max="1025" min="14" style="20" width="8.67"/>
  </cols>
  <sheetData>
    <row r="1" customFormat="false" ht="12.8" hidden="false" customHeight="false" outlineLevel="0" collapsed="false">
      <c r="A1" s="22"/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false" outlineLevel="0" collapsed="false">
      <c r="A2" s="23" t="s">
        <v>28</v>
      </c>
      <c r="B2" s="23"/>
      <c r="C2" s="23"/>
      <c r="D2" s="23"/>
      <c r="E2" s="23"/>
      <c r="F2" s="23"/>
      <c r="G2" s="23"/>
      <c r="H2" s="23"/>
      <c r="I2" s="23"/>
      <c r="K2" s="24"/>
    </row>
    <row r="3" customFormat="false" ht="15" hidden="false" customHeight="false" outlineLevel="0" collapsed="false">
      <c r="A3" s="25"/>
      <c r="B3" s="25"/>
      <c r="C3" s="25"/>
      <c r="D3" s="25"/>
      <c r="E3" s="25"/>
      <c r="F3" s="25"/>
      <c r="G3" s="25"/>
      <c r="H3" s="25"/>
      <c r="I3" s="25"/>
    </row>
    <row r="4" customFormat="false" ht="15" hidden="false" customHeight="false" outlineLevel="0" collapsed="false">
      <c r="A4" s="26" t="s">
        <v>29</v>
      </c>
      <c r="B4" s="26"/>
      <c r="C4" s="26"/>
      <c r="D4" s="26"/>
      <c r="E4" s="26"/>
      <c r="F4" s="26"/>
      <c r="G4" s="26"/>
      <c r="H4" s="26"/>
      <c r="I4" s="26"/>
    </row>
    <row r="5" customFormat="false" ht="15" hidden="false" customHeight="false" outlineLevel="0" collapsed="false">
      <c r="A5" s="27" t="n">
        <v>1</v>
      </c>
      <c r="B5" s="28" t="s">
        <v>30</v>
      </c>
      <c r="C5" s="28"/>
      <c r="D5" s="28"/>
      <c r="E5" s="28"/>
      <c r="F5" s="28"/>
      <c r="G5" s="28"/>
      <c r="H5" s="29" t="s">
        <v>163</v>
      </c>
      <c r="I5" s="29" t="s">
        <v>31</v>
      </c>
    </row>
    <row r="6" customFormat="false" ht="15" hidden="false" customHeight="false" outlineLevel="0" collapsed="false">
      <c r="A6" s="27" t="n">
        <v>2</v>
      </c>
      <c r="B6" s="28" t="s">
        <v>32</v>
      </c>
      <c r="C6" s="28"/>
      <c r="D6" s="28"/>
      <c r="E6" s="28"/>
      <c r="F6" s="28"/>
      <c r="G6" s="28"/>
      <c r="H6" s="30" t="n">
        <v>1575.05</v>
      </c>
      <c r="I6" s="30"/>
    </row>
    <row r="7" customFormat="false" ht="15" hidden="false" customHeight="false" outlineLevel="0" collapsed="false">
      <c r="A7" s="27" t="n">
        <v>3</v>
      </c>
      <c r="B7" s="28" t="s">
        <v>33</v>
      </c>
      <c r="C7" s="28"/>
      <c r="D7" s="28"/>
      <c r="E7" s="28"/>
      <c r="F7" s="28"/>
      <c r="G7" s="28"/>
      <c r="H7" s="29" t="s">
        <v>34</v>
      </c>
      <c r="I7" s="29"/>
    </row>
    <row r="8" customFormat="false" ht="15" hidden="false" customHeight="false" outlineLevel="0" collapsed="false">
      <c r="A8" s="27" t="n">
        <v>4</v>
      </c>
      <c r="B8" s="28" t="s">
        <v>35</v>
      </c>
      <c r="C8" s="28"/>
      <c r="D8" s="28"/>
      <c r="E8" s="28"/>
      <c r="F8" s="28"/>
      <c r="G8" s="28"/>
      <c r="H8" s="31" t="n">
        <v>43497</v>
      </c>
      <c r="I8" s="31"/>
    </row>
    <row r="9" customFormat="false" ht="13.8" hidden="false" customHeight="false" outlineLevel="0" collapsed="false">
      <c r="A9" s="32"/>
      <c r="B9" s="32"/>
      <c r="C9" s="32"/>
      <c r="D9" s="32"/>
      <c r="E9" s="32"/>
      <c r="F9" s="32"/>
      <c r="G9" s="32"/>
      <c r="H9" s="32"/>
      <c r="I9" s="32"/>
    </row>
    <row r="10" customFormat="false" ht="13.8" hidden="false" customHeight="false" outlineLevel="0" collapsed="false">
      <c r="A10" s="33" t="s">
        <v>36</v>
      </c>
      <c r="B10" s="33"/>
      <c r="C10" s="33"/>
      <c r="D10" s="33"/>
      <c r="E10" s="33"/>
      <c r="F10" s="33"/>
      <c r="G10" s="33"/>
      <c r="H10" s="33"/>
      <c r="I10" s="33"/>
    </row>
    <row r="11" customFormat="false" ht="13.8" hidden="false" customHeight="false" outlineLevel="0" collapsed="false">
      <c r="A11" s="34" t="n">
        <v>1</v>
      </c>
      <c r="B11" s="35" t="s">
        <v>37</v>
      </c>
      <c r="C11" s="35"/>
      <c r="D11" s="35"/>
      <c r="E11" s="35"/>
      <c r="F11" s="35"/>
      <c r="G11" s="35"/>
      <c r="H11" s="36" t="s">
        <v>38</v>
      </c>
      <c r="I11" s="37" t="s">
        <v>39</v>
      </c>
    </row>
    <row r="12" customFormat="false" ht="13.8" hidden="false" customHeight="false" outlineLevel="0" collapsed="false">
      <c r="A12" s="38" t="s">
        <v>8</v>
      </c>
      <c r="B12" s="39" t="s">
        <v>40</v>
      </c>
      <c r="C12" s="39"/>
      <c r="D12" s="39"/>
      <c r="E12" s="39"/>
      <c r="F12" s="39"/>
      <c r="G12" s="39"/>
      <c r="H12" s="40"/>
      <c r="I12" s="41" t="n">
        <f aca="false">H6</f>
        <v>1575.05</v>
      </c>
      <c r="L12" s="42"/>
    </row>
    <row r="13" customFormat="false" ht="13.8" hidden="false" customHeight="false" outlineLevel="0" collapsed="false">
      <c r="A13" s="34" t="s">
        <v>41</v>
      </c>
      <c r="B13" s="34"/>
      <c r="C13" s="34"/>
      <c r="D13" s="34"/>
      <c r="E13" s="34"/>
      <c r="F13" s="34"/>
      <c r="G13" s="34"/>
      <c r="H13" s="34"/>
      <c r="I13" s="43" t="n">
        <f aca="false">(SUM(I11:I12))</f>
        <v>1575.05</v>
      </c>
      <c r="J13" s="44"/>
    </row>
    <row r="14" customFormat="false" ht="13.8" hidden="false" customHeight="false" outlineLevel="0" collapsed="false">
      <c r="A14" s="34"/>
      <c r="B14" s="34"/>
      <c r="C14" s="34"/>
      <c r="D14" s="34"/>
      <c r="E14" s="34"/>
      <c r="F14" s="34"/>
      <c r="G14" s="34"/>
      <c r="H14" s="34"/>
      <c r="I14" s="34"/>
      <c r="J14" s="44"/>
    </row>
    <row r="15" customFormat="false" ht="13.8" hidden="false" customHeight="false" outlineLevel="0" collapsed="false">
      <c r="A15" s="45" t="s">
        <v>42</v>
      </c>
      <c r="B15" s="45"/>
      <c r="C15" s="45"/>
      <c r="D15" s="45"/>
      <c r="E15" s="45"/>
      <c r="F15" s="45"/>
      <c r="G15" s="45"/>
      <c r="H15" s="45"/>
      <c r="I15" s="45"/>
      <c r="J15" s="44"/>
    </row>
    <row r="16" customFormat="false" ht="13.8" hidden="false" customHeight="false" outlineLevel="0" collapsed="false">
      <c r="A16" s="35" t="s">
        <v>43</v>
      </c>
      <c r="B16" s="35"/>
      <c r="C16" s="35"/>
      <c r="D16" s="35"/>
      <c r="E16" s="35"/>
      <c r="F16" s="35"/>
      <c r="G16" s="35"/>
      <c r="H16" s="35" t="s">
        <v>38</v>
      </c>
      <c r="I16" s="35" t="s">
        <v>39</v>
      </c>
      <c r="J16" s="44"/>
    </row>
    <row r="17" customFormat="false" ht="13.8" hidden="false" customHeight="false" outlineLevel="0" collapsed="false">
      <c r="A17" s="35" t="s">
        <v>8</v>
      </c>
      <c r="B17" s="46" t="s">
        <v>44</v>
      </c>
      <c r="C17" s="46"/>
      <c r="D17" s="46"/>
      <c r="E17" s="46"/>
      <c r="F17" s="46"/>
      <c r="G17" s="46"/>
      <c r="H17" s="47" t="n">
        <f aca="false">1/12</f>
        <v>0.0833333333333333</v>
      </c>
      <c r="I17" s="48" t="n">
        <f aca="false">$I$13*H17</f>
        <v>131.254166666667</v>
      </c>
      <c r="J17" s="44"/>
    </row>
    <row r="18" customFormat="false" ht="13.8" hidden="false" customHeight="false" outlineLevel="0" collapsed="false">
      <c r="A18" s="35" t="s">
        <v>10</v>
      </c>
      <c r="B18" s="46" t="s">
        <v>45</v>
      </c>
      <c r="C18" s="46"/>
      <c r="D18" s="46"/>
      <c r="E18" s="46"/>
      <c r="F18" s="46"/>
      <c r="G18" s="46"/>
      <c r="H18" s="49" t="n">
        <v>0.121</v>
      </c>
      <c r="I18" s="48" t="n">
        <f aca="false">$I$13*H18</f>
        <v>190.58105</v>
      </c>
      <c r="J18" s="44"/>
      <c r="K18" s="50"/>
      <c r="L18" s="51"/>
    </row>
    <row r="19" customFormat="false" ht="13.8" hidden="true" customHeight="false" outlineLevel="0" collapsed="false">
      <c r="A19" s="35" t="s">
        <v>13</v>
      </c>
      <c r="B19" s="52" t="s">
        <v>164</v>
      </c>
      <c r="C19" s="52"/>
      <c r="D19" s="52"/>
      <c r="E19" s="52"/>
      <c r="F19" s="52"/>
      <c r="G19" s="52"/>
      <c r="H19" s="49"/>
      <c r="I19" s="48" t="n">
        <f aca="false">$I$13*H19</f>
        <v>0</v>
      </c>
      <c r="J19" s="44"/>
      <c r="K19" s="50"/>
      <c r="L19" s="51"/>
    </row>
    <row r="20" customFormat="false" ht="13.8" hidden="false" customHeight="false" outlineLevel="0" collapsed="false">
      <c r="A20" s="35" t="s">
        <v>46</v>
      </c>
      <c r="B20" s="35"/>
      <c r="C20" s="35"/>
      <c r="D20" s="35"/>
      <c r="E20" s="35"/>
      <c r="F20" s="35"/>
      <c r="G20" s="35"/>
      <c r="H20" s="53" t="n">
        <f aca="false">TRUNC(SUM(H17:H18),4)</f>
        <v>0.2043</v>
      </c>
      <c r="I20" s="54" t="n">
        <f aca="false">(SUM(I17:I19))</f>
        <v>321.835216666667</v>
      </c>
      <c r="J20" s="44"/>
      <c r="K20" s="50"/>
    </row>
    <row r="21" customFormat="false" ht="13.8" hidden="false" customHeight="false" outlineLevel="0" collapsed="false">
      <c r="A21" s="32"/>
      <c r="B21" s="32"/>
      <c r="C21" s="32"/>
      <c r="D21" s="32"/>
      <c r="E21" s="32"/>
      <c r="F21" s="32"/>
      <c r="G21" s="32"/>
      <c r="H21" s="32"/>
      <c r="I21" s="32"/>
      <c r="J21" s="44"/>
      <c r="K21" s="50"/>
    </row>
    <row r="22" customFormat="false" ht="13.8" hidden="false" customHeight="false" outlineLevel="0" collapsed="false">
      <c r="A22" s="55" t="s">
        <v>47</v>
      </c>
      <c r="B22" s="55"/>
      <c r="C22" s="55"/>
      <c r="D22" s="55"/>
      <c r="E22" s="55"/>
      <c r="F22" s="55"/>
      <c r="G22" s="55"/>
      <c r="H22" s="55" t="s">
        <v>38</v>
      </c>
      <c r="I22" s="55" t="s">
        <v>39</v>
      </c>
      <c r="J22" s="44"/>
    </row>
    <row r="23" customFormat="false" ht="13.8" hidden="false" customHeight="false" outlineLevel="0" collapsed="false">
      <c r="A23" s="35" t="s">
        <v>8</v>
      </c>
      <c r="B23" s="46" t="s">
        <v>48</v>
      </c>
      <c r="C23" s="46"/>
      <c r="D23" s="46"/>
      <c r="E23" s="46"/>
      <c r="F23" s="46"/>
      <c r="G23" s="46"/>
      <c r="H23" s="47" t="n">
        <v>0.2</v>
      </c>
      <c r="I23" s="48" t="n">
        <f aca="false">($I$13+$I$20)*H23</f>
        <v>379.377043333333</v>
      </c>
      <c r="J23" s="44"/>
    </row>
    <row r="24" customFormat="false" ht="13.8" hidden="false" customHeight="false" outlineLevel="0" collapsed="false">
      <c r="A24" s="35" t="s">
        <v>10</v>
      </c>
      <c r="B24" s="46" t="s">
        <v>49</v>
      </c>
      <c r="C24" s="46"/>
      <c r="D24" s="46"/>
      <c r="E24" s="46"/>
      <c r="F24" s="46"/>
      <c r="G24" s="46"/>
      <c r="H24" s="47" t="n">
        <v>0.025</v>
      </c>
      <c r="I24" s="48" t="n">
        <f aca="false">($I$13+$I$20)*H24</f>
        <v>47.4221304166667</v>
      </c>
      <c r="J24" s="44"/>
    </row>
    <row r="25" customFormat="false" ht="13.8" hidden="false" customHeight="false" outlineLevel="0" collapsed="false">
      <c r="A25" s="32" t="s">
        <v>13</v>
      </c>
      <c r="B25" s="46" t="s">
        <v>50</v>
      </c>
      <c r="C25" s="46"/>
      <c r="D25" s="46"/>
      <c r="E25" s="46"/>
      <c r="F25" s="46"/>
      <c r="G25" s="46"/>
      <c r="H25" s="56" t="n">
        <f aca="false">G26</f>
        <v>0.03</v>
      </c>
      <c r="I25" s="57" t="n">
        <f aca="false">($I$13+$I$20)*H25</f>
        <v>56.9065565</v>
      </c>
      <c r="J25" s="44"/>
      <c r="K25" s="58"/>
    </row>
    <row r="26" customFormat="false" ht="13.8" hidden="false" customHeight="false" outlineLevel="0" collapsed="false">
      <c r="A26" s="32"/>
      <c r="B26" s="46" t="s">
        <v>51</v>
      </c>
      <c r="C26" s="59" t="n">
        <v>0.03</v>
      </c>
      <c r="D26" s="46" t="s">
        <v>52</v>
      </c>
      <c r="E26" s="60" t="n">
        <v>1</v>
      </c>
      <c r="F26" s="61" t="s">
        <v>53</v>
      </c>
      <c r="G26" s="47" t="n">
        <f aca="false">E26*C26</f>
        <v>0.03</v>
      </c>
      <c r="H26" s="56"/>
      <c r="I26" s="57"/>
      <c r="J26" s="44"/>
    </row>
    <row r="27" customFormat="false" ht="13.8" hidden="false" customHeight="false" outlineLevel="0" collapsed="false">
      <c r="A27" s="35" t="s">
        <v>16</v>
      </c>
      <c r="B27" s="46" t="s">
        <v>54</v>
      </c>
      <c r="C27" s="46"/>
      <c r="D27" s="46"/>
      <c r="E27" s="46"/>
      <c r="F27" s="46"/>
      <c r="G27" s="46"/>
      <c r="H27" s="47" t="n">
        <v>0.015</v>
      </c>
      <c r="I27" s="48" t="n">
        <f aca="false">($I$13+$I$20)*H27</f>
        <v>28.45327825</v>
      </c>
      <c r="J27" s="44"/>
    </row>
    <row r="28" customFormat="false" ht="13.8" hidden="false" customHeight="false" outlineLevel="0" collapsed="false">
      <c r="A28" s="35" t="s">
        <v>55</v>
      </c>
      <c r="B28" s="46" t="s">
        <v>56</v>
      </c>
      <c r="C28" s="46"/>
      <c r="D28" s="46"/>
      <c r="E28" s="46"/>
      <c r="F28" s="46"/>
      <c r="G28" s="46"/>
      <c r="H28" s="47" t="n">
        <v>0.01</v>
      </c>
      <c r="I28" s="48" t="n">
        <f aca="false">($I$13+$I$20)*H28</f>
        <v>18.9688521666667</v>
      </c>
      <c r="J28" s="44"/>
    </row>
    <row r="29" customFormat="false" ht="13.8" hidden="false" customHeight="false" outlineLevel="0" collapsed="false">
      <c r="A29" s="35" t="s">
        <v>57</v>
      </c>
      <c r="B29" s="46" t="s">
        <v>58</v>
      </c>
      <c r="C29" s="46"/>
      <c r="D29" s="46"/>
      <c r="E29" s="46"/>
      <c r="F29" s="46"/>
      <c r="G29" s="46"/>
      <c r="H29" s="47" t="n">
        <v>0.006</v>
      </c>
      <c r="I29" s="48" t="n">
        <f aca="false">($I$13+$I$20)*H29</f>
        <v>11.3813113</v>
      </c>
      <c r="J29" s="44"/>
    </row>
    <row r="30" customFormat="false" ht="13.8" hidden="false" customHeight="false" outlineLevel="0" collapsed="false">
      <c r="A30" s="35" t="s">
        <v>59</v>
      </c>
      <c r="B30" s="46" t="s">
        <v>60</v>
      </c>
      <c r="C30" s="46"/>
      <c r="D30" s="46"/>
      <c r="E30" s="46"/>
      <c r="F30" s="46"/>
      <c r="G30" s="46"/>
      <c r="H30" s="47" t="n">
        <v>0.002</v>
      </c>
      <c r="I30" s="48" t="n">
        <f aca="false">($I$13+$I$20)*H30</f>
        <v>3.79377043333333</v>
      </c>
      <c r="J30" s="44"/>
    </row>
    <row r="31" customFormat="false" ht="13.8" hidden="false" customHeight="false" outlineLevel="0" collapsed="false">
      <c r="A31" s="35" t="s">
        <v>61</v>
      </c>
      <c r="B31" s="46" t="s">
        <v>62</v>
      </c>
      <c r="C31" s="46"/>
      <c r="D31" s="46"/>
      <c r="E31" s="46"/>
      <c r="F31" s="46"/>
      <c r="G31" s="46"/>
      <c r="H31" s="47" t="n">
        <v>0.08</v>
      </c>
      <c r="I31" s="48" t="n">
        <f aca="false">($I$13+$I$20)*H31</f>
        <v>151.750817333333</v>
      </c>
      <c r="J31" s="44"/>
    </row>
    <row r="32" customFormat="false" ht="13.8" hidden="false" customHeight="false" outlineLevel="0" collapsed="false">
      <c r="A32" s="35" t="s">
        <v>63</v>
      </c>
      <c r="B32" s="35"/>
      <c r="C32" s="35"/>
      <c r="D32" s="35"/>
      <c r="E32" s="35"/>
      <c r="F32" s="35"/>
      <c r="G32" s="35"/>
      <c r="H32" s="53" t="n">
        <f aca="false">SUM(H23:H31)</f>
        <v>0.368</v>
      </c>
      <c r="I32" s="54" t="n">
        <f aca="false">(SUM(I23:I31))</f>
        <v>698.053759733333</v>
      </c>
      <c r="J32" s="44"/>
    </row>
    <row r="33" customFormat="false" ht="13.8" hidden="false" customHeight="false" outlineLevel="0" collapsed="false">
      <c r="A33" s="62"/>
      <c r="B33" s="62"/>
      <c r="C33" s="62"/>
      <c r="D33" s="62"/>
      <c r="E33" s="62"/>
      <c r="F33" s="62"/>
      <c r="G33" s="62"/>
      <c r="H33" s="62"/>
      <c r="I33" s="62"/>
      <c r="J33" s="44"/>
    </row>
    <row r="34" customFormat="false" ht="13.8" hidden="false" customHeight="false" outlineLevel="0" collapsed="false">
      <c r="A34" s="55" t="s">
        <v>64</v>
      </c>
      <c r="B34" s="55"/>
      <c r="C34" s="55"/>
      <c r="D34" s="55"/>
      <c r="E34" s="55"/>
      <c r="F34" s="55"/>
      <c r="G34" s="55"/>
      <c r="H34" s="63"/>
      <c r="I34" s="55" t="s">
        <v>39</v>
      </c>
      <c r="J34" s="44"/>
    </row>
    <row r="35" customFormat="false" ht="13.8" hidden="false" customHeight="false" outlineLevel="0" collapsed="false">
      <c r="A35" s="32" t="s">
        <v>8</v>
      </c>
      <c r="B35" s="64" t="s">
        <v>65</v>
      </c>
      <c r="C35" s="64"/>
      <c r="D35" s="64"/>
      <c r="E35" s="64"/>
      <c r="F35" s="64" t="s">
        <v>66</v>
      </c>
      <c r="G35" s="64"/>
      <c r="H35" s="61" t="n">
        <v>2</v>
      </c>
      <c r="I35" s="57" t="n">
        <f aca="false">(H35*H36*22)-(I12*0.06)</f>
        <v>70.497</v>
      </c>
      <c r="J35" s="44"/>
    </row>
    <row r="36" customFormat="false" ht="13.8" hidden="false" customHeight="false" outlineLevel="0" collapsed="false">
      <c r="A36" s="32"/>
      <c r="B36" s="64"/>
      <c r="C36" s="64"/>
      <c r="D36" s="64"/>
      <c r="E36" s="64"/>
      <c r="F36" s="64" t="s">
        <v>67</v>
      </c>
      <c r="G36" s="64"/>
      <c r="H36" s="65" t="n">
        <v>3.75</v>
      </c>
      <c r="I36" s="57"/>
      <c r="J36" s="44"/>
    </row>
    <row r="37" customFormat="false" ht="13.8" hidden="false" customHeight="false" outlineLevel="0" collapsed="false">
      <c r="A37" s="35" t="s">
        <v>10</v>
      </c>
      <c r="B37" s="66" t="s">
        <v>68</v>
      </c>
      <c r="C37" s="66"/>
      <c r="D37" s="66"/>
      <c r="E37" s="66"/>
      <c r="F37" s="66"/>
      <c r="G37" s="66"/>
      <c r="H37" s="65" t="n">
        <v>400</v>
      </c>
      <c r="I37" s="41" t="n">
        <f aca="false">(H37)-(H37*0.2)+(((H37)-(H37*0.2))/12)</f>
        <v>346.666666666667</v>
      </c>
      <c r="J37" s="44"/>
    </row>
    <row r="38" customFormat="false" ht="13.8" hidden="false" customHeight="false" outlineLevel="0" collapsed="false">
      <c r="A38" s="35" t="s">
        <v>13</v>
      </c>
      <c r="B38" s="66" t="s">
        <v>69</v>
      </c>
      <c r="C38" s="66"/>
      <c r="D38" s="66"/>
      <c r="E38" s="66"/>
      <c r="F38" s="66"/>
      <c r="G38" s="66"/>
      <c r="H38" s="61" t="s">
        <v>70</v>
      </c>
      <c r="I38" s="41" t="n">
        <v>60</v>
      </c>
      <c r="J38" s="44"/>
    </row>
    <row r="39" customFormat="false" ht="13.8" hidden="false" customHeight="false" outlineLevel="0" collapsed="false">
      <c r="A39" s="35" t="s">
        <v>16</v>
      </c>
      <c r="B39" s="66" t="s">
        <v>71</v>
      </c>
      <c r="C39" s="66"/>
      <c r="D39" s="66"/>
      <c r="E39" s="66"/>
      <c r="F39" s="66"/>
      <c r="G39" s="66"/>
      <c r="H39" s="61" t="s">
        <v>70</v>
      </c>
      <c r="I39" s="41" t="n">
        <v>0</v>
      </c>
      <c r="J39" s="44"/>
    </row>
    <row r="40" customFormat="false" ht="13.8" hidden="false" customHeight="false" outlineLevel="0" collapsed="false">
      <c r="A40" s="35" t="s">
        <v>55</v>
      </c>
      <c r="B40" s="66" t="s">
        <v>72</v>
      </c>
      <c r="C40" s="66"/>
      <c r="D40" s="66"/>
      <c r="E40" s="66"/>
      <c r="F40" s="66"/>
      <c r="G40" s="66"/>
      <c r="H40" s="61" t="s">
        <v>70</v>
      </c>
      <c r="I40" s="41" t="n">
        <v>20</v>
      </c>
      <c r="J40" s="44"/>
    </row>
    <row r="41" customFormat="false" ht="13.8" hidden="false" customHeight="false" outlineLevel="0" collapsed="false">
      <c r="A41" s="35" t="s">
        <v>57</v>
      </c>
      <c r="B41" s="66" t="s">
        <v>73</v>
      </c>
      <c r="C41" s="66"/>
      <c r="D41" s="66"/>
      <c r="E41" s="66"/>
      <c r="F41" s="66"/>
      <c r="G41" s="66"/>
      <c r="H41" s="61" t="s">
        <v>70</v>
      </c>
      <c r="I41" s="41" t="n">
        <v>20</v>
      </c>
      <c r="J41" s="44"/>
    </row>
    <row r="42" customFormat="false" ht="13.8" hidden="false" customHeight="false" outlineLevel="0" collapsed="false">
      <c r="A42" s="35" t="s">
        <v>74</v>
      </c>
      <c r="B42" s="35"/>
      <c r="C42" s="35"/>
      <c r="D42" s="35"/>
      <c r="E42" s="35"/>
      <c r="F42" s="35"/>
      <c r="G42" s="35"/>
      <c r="H42" s="35"/>
      <c r="I42" s="54" t="n">
        <f aca="false">(SUM(I35:I41))</f>
        <v>517.163666666667</v>
      </c>
      <c r="J42" s="44"/>
    </row>
    <row r="43" customFormat="false" ht="13.8" hidden="false" customHeight="false" outlineLevel="0" collapsed="false">
      <c r="A43" s="32"/>
      <c r="B43" s="32"/>
      <c r="C43" s="32"/>
      <c r="D43" s="32"/>
      <c r="E43" s="32"/>
      <c r="F43" s="32"/>
      <c r="G43" s="32"/>
      <c r="H43" s="32"/>
      <c r="I43" s="32"/>
      <c r="J43" s="44"/>
    </row>
    <row r="44" customFormat="false" ht="13.8" hidden="false" customHeight="false" outlineLevel="0" collapsed="false">
      <c r="A44" s="67" t="s">
        <v>75</v>
      </c>
      <c r="B44" s="67"/>
      <c r="C44" s="67"/>
      <c r="D44" s="67"/>
      <c r="E44" s="67"/>
      <c r="F44" s="67"/>
      <c r="G44" s="67"/>
      <c r="H44" s="67"/>
      <c r="I44" s="67"/>
      <c r="J44" s="44"/>
    </row>
    <row r="45" customFormat="false" ht="13.8" hidden="false" customHeight="false" outlineLevel="0" collapsed="false">
      <c r="A45" s="35" t="s">
        <v>76</v>
      </c>
      <c r="B45" s="35"/>
      <c r="C45" s="35"/>
      <c r="D45" s="35"/>
      <c r="E45" s="35"/>
      <c r="F45" s="35"/>
      <c r="G45" s="35"/>
      <c r="H45" s="35"/>
      <c r="I45" s="35" t="s">
        <v>39</v>
      </c>
      <c r="J45" s="44"/>
    </row>
    <row r="46" customFormat="false" ht="13.8" hidden="false" customHeight="false" outlineLevel="0" collapsed="false">
      <c r="A46" s="35" t="s">
        <v>77</v>
      </c>
      <c r="B46" s="46" t="s">
        <v>78</v>
      </c>
      <c r="C46" s="46"/>
      <c r="D46" s="46"/>
      <c r="E46" s="46"/>
      <c r="F46" s="46"/>
      <c r="G46" s="46"/>
      <c r="H46" s="46"/>
      <c r="I46" s="48" t="n">
        <f aca="false">I20</f>
        <v>321.835216666667</v>
      </c>
      <c r="J46" s="44"/>
    </row>
    <row r="47" customFormat="false" ht="13.8" hidden="false" customHeight="false" outlineLevel="0" collapsed="false">
      <c r="A47" s="35" t="s">
        <v>79</v>
      </c>
      <c r="B47" s="46" t="s">
        <v>80</v>
      </c>
      <c r="C47" s="46"/>
      <c r="D47" s="46"/>
      <c r="E47" s="46"/>
      <c r="F47" s="46"/>
      <c r="G47" s="46"/>
      <c r="H47" s="46"/>
      <c r="I47" s="48" t="n">
        <f aca="false">I32</f>
        <v>698.053759733333</v>
      </c>
      <c r="J47" s="44"/>
    </row>
    <row r="48" customFormat="false" ht="13.8" hidden="false" customHeight="false" outlineLevel="0" collapsed="false">
      <c r="A48" s="35" t="s">
        <v>81</v>
      </c>
      <c r="B48" s="46" t="s">
        <v>82</v>
      </c>
      <c r="C48" s="46"/>
      <c r="D48" s="46"/>
      <c r="E48" s="46"/>
      <c r="F48" s="46"/>
      <c r="G48" s="46"/>
      <c r="H48" s="46"/>
      <c r="I48" s="48" t="n">
        <f aca="false">I42</f>
        <v>517.163666666667</v>
      </c>
      <c r="J48" s="44"/>
    </row>
    <row r="49" customFormat="false" ht="13.8" hidden="false" customHeight="false" outlineLevel="0" collapsed="false">
      <c r="A49" s="35" t="s">
        <v>83</v>
      </c>
      <c r="B49" s="35"/>
      <c r="C49" s="35"/>
      <c r="D49" s="35"/>
      <c r="E49" s="35"/>
      <c r="F49" s="35"/>
      <c r="G49" s="35"/>
      <c r="H49" s="35"/>
      <c r="I49" s="54" t="n">
        <f aca="false">(SUM(I46:I48))</f>
        <v>1537.05264306667</v>
      </c>
      <c r="J49" s="44"/>
    </row>
    <row r="50" customFormat="false" ht="13.8" hidden="false" customHeight="false" outlineLevel="0" collapsed="false">
      <c r="A50" s="68"/>
      <c r="B50" s="68"/>
      <c r="C50" s="68"/>
      <c r="D50" s="68"/>
      <c r="E50" s="68"/>
      <c r="F50" s="68"/>
      <c r="G50" s="68"/>
      <c r="H50" s="68"/>
      <c r="I50" s="68"/>
      <c r="J50" s="44"/>
    </row>
    <row r="51" customFormat="false" ht="13.8" hidden="false" customHeight="false" outlineLevel="0" collapsed="false">
      <c r="A51" s="45" t="s">
        <v>84</v>
      </c>
      <c r="B51" s="45"/>
      <c r="C51" s="45"/>
      <c r="D51" s="45"/>
      <c r="E51" s="45"/>
      <c r="F51" s="45"/>
      <c r="G51" s="45"/>
      <c r="H51" s="45"/>
      <c r="I51" s="45"/>
      <c r="J51" s="44"/>
    </row>
    <row r="52" customFormat="false" ht="13.8" hidden="false" customHeight="false" outlineLevel="0" collapsed="false">
      <c r="A52" s="32" t="s">
        <v>85</v>
      </c>
      <c r="B52" s="32" t="s">
        <v>86</v>
      </c>
      <c r="C52" s="32"/>
      <c r="D52" s="32"/>
      <c r="E52" s="32"/>
      <c r="F52" s="32"/>
      <c r="G52" s="32"/>
      <c r="H52" s="35" t="s">
        <v>38</v>
      </c>
      <c r="I52" s="35" t="s">
        <v>39</v>
      </c>
      <c r="J52" s="44"/>
    </row>
    <row r="53" customFormat="false" ht="13.8" hidden="false" customHeight="false" outlineLevel="0" collapsed="false">
      <c r="A53" s="35" t="s">
        <v>8</v>
      </c>
      <c r="B53" s="46" t="s">
        <v>87</v>
      </c>
      <c r="C53" s="46"/>
      <c r="D53" s="46"/>
      <c r="E53" s="46"/>
      <c r="F53" s="46"/>
      <c r="G53" s="46"/>
      <c r="H53" s="47"/>
      <c r="I53" s="48" t="n">
        <f aca="false">((I13+I49)-(I23+I24+I25+I27+I28+I29+I30))/12</f>
        <v>213.816641722222</v>
      </c>
      <c r="J53" s="44"/>
    </row>
    <row r="54" customFormat="false" ht="13.8" hidden="false" customHeight="false" outlineLevel="0" collapsed="false">
      <c r="A54" s="35" t="s">
        <v>10</v>
      </c>
      <c r="B54" s="46" t="s">
        <v>88</v>
      </c>
      <c r="C54" s="46"/>
      <c r="D54" s="46"/>
      <c r="E54" s="46"/>
      <c r="F54" s="46"/>
      <c r="G54" s="46"/>
      <c r="H54" s="47"/>
      <c r="I54" s="48" t="n">
        <f aca="false">I31*50%</f>
        <v>75.8754086666667</v>
      </c>
      <c r="J54" s="44"/>
    </row>
    <row r="55" customFormat="false" ht="13.8" hidden="false" customHeight="false" outlineLevel="0" collapsed="false">
      <c r="A55" s="35" t="s">
        <v>13</v>
      </c>
      <c r="B55" s="46" t="s">
        <v>89</v>
      </c>
      <c r="C55" s="46"/>
      <c r="D55" s="46"/>
      <c r="E55" s="46"/>
      <c r="F55" s="46"/>
      <c r="G55" s="46"/>
      <c r="H55" s="47" t="n">
        <v>0.7209</v>
      </c>
      <c r="I55" s="48" t="n">
        <f aca="false">(I54+I53)*H55</f>
        <v>208.83899912535</v>
      </c>
      <c r="J55" s="44"/>
    </row>
    <row r="56" customFormat="false" ht="13.8" hidden="false" customHeight="false" outlineLevel="0" collapsed="false">
      <c r="A56" s="32" t="s">
        <v>90</v>
      </c>
      <c r="B56" s="32"/>
      <c r="C56" s="32"/>
      <c r="D56" s="32"/>
      <c r="E56" s="32"/>
      <c r="F56" s="32"/>
      <c r="G56" s="32"/>
      <c r="H56" s="47"/>
      <c r="I56" s="54" t="n">
        <f aca="false">I55</f>
        <v>208.83899912535</v>
      </c>
      <c r="J56" s="44"/>
    </row>
    <row r="57" customFormat="false" ht="13.8" hidden="false" customHeight="false" outlineLevel="0" collapsed="false">
      <c r="A57" s="32"/>
      <c r="B57" s="32"/>
      <c r="C57" s="32"/>
      <c r="D57" s="32"/>
      <c r="E57" s="32"/>
      <c r="F57" s="32"/>
      <c r="G57" s="32"/>
      <c r="H57" s="32"/>
      <c r="I57" s="32"/>
      <c r="J57" s="44"/>
    </row>
    <row r="58" customFormat="false" ht="13.8" hidden="false" customHeight="false" outlineLevel="0" collapsed="false">
      <c r="A58" s="32" t="s">
        <v>91</v>
      </c>
      <c r="B58" s="32" t="s">
        <v>86</v>
      </c>
      <c r="C58" s="32"/>
      <c r="D58" s="32"/>
      <c r="E58" s="32"/>
      <c r="F58" s="32"/>
      <c r="G58" s="32"/>
      <c r="H58" s="35" t="s">
        <v>38</v>
      </c>
      <c r="I58" s="35" t="s">
        <v>39</v>
      </c>
      <c r="J58" s="44"/>
    </row>
    <row r="59" customFormat="false" ht="13.8" hidden="false" customHeight="false" outlineLevel="0" collapsed="false">
      <c r="A59" s="35" t="s">
        <v>8</v>
      </c>
      <c r="B59" s="46" t="s">
        <v>92</v>
      </c>
      <c r="C59" s="46"/>
      <c r="D59" s="46"/>
      <c r="E59" s="46"/>
      <c r="F59" s="46"/>
      <c r="G59" s="46"/>
      <c r="H59" s="47"/>
      <c r="I59" s="48" t="n">
        <f aca="false">(I13+I49)/12</f>
        <v>259.341886922222</v>
      </c>
      <c r="J59" s="44"/>
    </row>
    <row r="60" customFormat="false" ht="13.8" hidden="false" customHeight="false" outlineLevel="0" collapsed="false">
      <c r="A60" s="35" t="s">
        <v>10</v>
      </c>
      <c r="B60" s="46" t="s">
        <v>93</v>
      </c>
      <c r="C60" s="46"/>
      <c r="D60" s="46"/>
      <c r="E60" s="46"/>
      <c r="F60" s="46"/>
      <c r="G60" s="46"/>
      <c r="H60" s="47"/>
      <c r="I60" s="48" t="n">
        <f aca="false">I31*50%</f>
        <v>75.8754086666667</v>
      </c>
      <c r="J60" s="44"/>
    </row>
    <row r="61" customFormat="false" ht="13.8" hidden="false" customHeight="false" outlineLevel="0" collapsed="false">
      <c r="A61" s="35" t="s">
        <v>13</v>
      </c>
      <c r="B61" s="46" t="s">
        <v>94</v>
      </c>
      <c r="C61" s="46"/>
      <c r="D61" s="46"/>
      <c r="E61" s="46"/>
      <c r="F61" s="46"/>
      <c r="G61" s="46"/>
      <c r="H61" s="47" t="n">
        <v>0.0801</v>
      </c>
      <c r="I61" s="48" t="n">
        <f aca="false">(I60+I59)*H61</f>
        <v>26.85090537667</v>
      </c>
      <c r="J61" s="44"/>
    </row>
    <row r="62" customFormat="false" ht="13.8" hidden="false" customHeight="false" outlineLevel="0" collapsed="false">
      <c r="A62" s="32" t="s">
        <v>95</v>
      </c>
      <c r="B62" s="32"/>
      <c r="C62" s="32"/>
      <c r="D62" s="32"/>
      <c r="E62" s="32"/>
      <c r="F62" s="32"/>
      <c r="G62" s="32"/>
      <c r="H62" s="47"/>
      <c r="I62" s="54" t="n">
        <f aca="false">I61</f>
        <v>26.85090537667</v>
      </c>
      <c r="J62" s="44"/>
    </row>
    <row r="63" customFormat="false" ht="13.8" hidden="false" customHeight="false" outlineLevel="0" collapsed="false">
      <c r="A63" s="32"/>
      <c r="B63" s="32"/>
      <c r="C63" s="32"/>
      <c r="D63" s="32"/>
      <c r="E63" s="32"/>
      <c r="F63" s="32"/>
      <c r="G63" s="32"/>
      <c r="H63" s="32"/>
      <c r="I63" s="32"/>
      <c r="J63" s="44"/>
    </row>
    <row r="64" customFormat="false" ht="13.8" hidden="false" customHeight="false" outlineLevel="0" collapsed="false">
      <c r="A64" s="32" t="s">
        <v>96</v>
      </c>
      <c r="B64" s="32" t="s">
        <v>86</v>
      </c>
      <c r="C64" s="32"/>
      <c r="D64" s="32"/>
      <c r="E64" s="32"/>
      <c r="F64" s="32"/>
      <c r="G64" s="32"/>
      <c r="H64" s="35" t="s">
        <v>38</v>
      </c>
      <c r="I64" s="35" t="s">
        <v>39</v>
      </c>
      <c r="J64" s="44"/>
    </row>
    <row r="65" customFormat="false" ht="13.8" hidden="false" customHeight="false" outlineLevel="0" collapsed="false">
      <c r="A65" s="35" t="s">
        <v>8</v>
      </c>
      <c r="B65" s="46" t="s">
        <v>97</v>
      </c>
      <c r="C65" s="46"/>
      <c r="D65" s="46"/>
      <c r="E65" s="46"/>
      <c r="F65" s="46"/>
      <c r="G65" s="46"/>
      <c r="H65" s="47"/>
      <c r="I65" s="48" t="n">
        <f aca="false">-(I17+I18+I19)</f>
        <v>-321.835216666667</v>
      </c>
      <c r="J65" s="44"/>
    </row>
    <row r="66" customFormat="false" ht="13.8" hidden="false" customHeight="false" outlineLevel="0" collapsed="false">
      <c r="A66" s="35" t="s">
        <v>10</v>
      </c>
      <c r="B66" s="46" t="s">
        <v>98</v>
      </c>
      <c r="C66" s="46"/>
      <c r="D66" s="46"/>
      <c r="E66" s="46"/>
      <c r="F66" s="46"/>
      <c r="G66" s="46"/>
      <c r="H66" s="47" t="n">
        <v>0.0328</v>
      </c>
      <c r="I66" s="48" t="n">
        <f aca="false">I65*H66</f>
        <v>-10.5561951066667</v>
      </c>
      <c r="J66" s="44"/>
    </row>
    <row r="67" customFormat="false" ht="13.8" hidden="false" customHeight="false" outlineLevel="0" collapsed="false">
      <c r="A67" s="32" t="s">
        <v>99</v>
      </c>
      <c r="B67" s="32"/>
      <c r="C67" s="32"/>
      <c r="D67" s="32"/>
      <c r="E67" s="32"/>
      <c r="F67" s="32"/>
      <c r="G67" s="32"/>
      <c r="H67" s="47"/>
      <c r="I67" s="48" t="n">
        <f aca="false">I66</f>
        <v>-10.5561951066667</v>
      </c>
      <c r="J67" s="44"/>
    </row>
    <row r="68" customFormat="false" ht="13.8" hidden="false" customHeight="false" outlineLevel="0" collapsed="false">
      <c r="A68" s="32"/>
      <c r="B68" s="32"/>
      <c r="C68" s="32"/>
      <c r="D68" s="32"/>
      <c r="E68" s="32"/>
      <c r="F68" s="32"/>
      <c r="G68" s="32"/>
      <c r="H68" s="32"/>
      <c r="I68" s="32"/>
      <c r="J68" s="44"/>
    </row>
    <row r="69" customFormat="false" ht="13.8" hidden="false" customHeight="false" outlineLevel="0" collapsed="false">
      <c r="A69" s="67" t="s">
        <v>100</v>
      </c>
      <c r="B69" s="67"/>
      <c r="C69" s="67"/>
      <c r="D69" s="67"/>
      <c r="E69" s="67"/>
      <c r="F69" s="67"/>
      <c r="G69" s="67"/>
      <c r="H69" s="67"/>
      <c r="I69" s="67"/>
      <c r="J69" s="44"/>
    </row>
    <row r="70" customFormat="false" ht="13.8" hidden="false" customHeight="false" outlineLevel="0" collapsed="false">
      <c r="A70" s="32" t="s">
        <v>101</v>
      </c>
      <c r="B70" s="32"/>
      <c r="C70" s="32"/>
      <c r="D70" s="32"/>
      <c r="E70" s="32"/>
      <c r="F70" s="32"/>
      <c r="G70" s="32"/>
      <c r="H70" s="32"/>
      <c r="I70" s="37" t="s">
        <v>39</v>
      </c>
      <c r="J70" s="44"/>
    </row>
    <row r="71" customFormat="false" ht="13.8" hidden="false" customHeight="false" outlineLevel="0" collapsed="false">
      <c r="A71" s="35" t="s">
        <v>102</v>
      </c>
      <c r="B71" s="52" t="s">
        <v>89</v>
      </c>
      <c r="C71" s="52"/>
      <c r="D71" s="52"/>
      <c r="E71" s="52"/>
      <c r="F71" s="52"/>
      <c r="G71" s="52"/>
      <c r="H71" s="52"/>
      <c r="I71" s="54" t="n">
        <f aca="false">I56</f>
        <v>208.83899912535</v>
      </c>
      <c r="J71" s="44"/>
    </row>
    <row r="72" customFormat="false" ht="13.8" hidden="false" customHeight="false" outlineLevel="0" collapsed="false">
      <c r="A72" s="35" t="s">
        <v>103</v>
      </c>
      <c r="B72" s="52" t="s">
        <v>94</v>
      </c>
      <c r="C72" s="52"/>
      <c r="D72" s="52"/>
      <c r="E72" s="52"/>
      <c r="F72" s="52"/>
      <c r="G72" s="52"/>
      <c r="H72" s="52"/>
      <c r="I72" s="54" t="n">
        <f aca="false">I62</f>
        <v>26.85090537667</v>
      </c>
      <c r="J72" s="44"/>
    </row>
    <row r="73" customFormat="false" ht="13.8" hidden="false" customHeight="false" outlineLevel="0" collapsed="false">
      <c r="A73" s="35" t="s">
        <v>104</v>
      </c>
      <c r="B73" s="52" t="s">
        <v>98</v>
      </c>
      <c r="C73" s="52"/>
      <c r="D73" s="52"/>
      <c r="E73" s="52"/>
      <c r="F73" s="52"/>
      <c r="G73" s="52"/>
      <c r="H73" s="52"/>
      <c r="I73" s="54" t="n">
        <f aca="false">I67</f>
        <v>-10.5561951066667</v>
      </c>
      <c r="J73" s="44"/>
    </row>
    <row r="74" customFormat="false" ht="13.8" hidden="false" customHeight="false" outlineLevel="0" collapsed="false">
      <c r="A74" s="35" t="s">
        <v>105</v>
      </c>
      <c r="B74" s="35"/>
      <c r="C74" s="35"/>
      <c r="D74" s="35"/>
      <c r="E74" s="35"/>
      <c r="F74" s="35"/>
      <c r="G74" s="35"/>
      <c r="H74" s="35"/>
      <c r="I74" s="54" t="n">
        <f aca="false">SUM(I71:I73)</f>
        <v>225.133709395353</v>
      </c>
      <c r="J74" s="44"/>
    </row>
    <row r="75" customFormat="false" ht="13.8" hidden="false" customHeight="false" outlineLevel="0" collapsed="false">
      <c r="A75" s="69"/>
      <c r="B75" s="69"/>
      <c r="C75" s="69"/>
      <c r="D75" s="69"/>
      <c r="E75" s="69"/>
      <c r="F75" s="69"/>
      <c r="G75" s="69"/>
      <c r="H75" s="69"/>
      <c r="I75" s="69"/>
      <c r="J75" s="44"/>
    </row>
    <row r="76" customFormat="false" ht="13.8" hidden="false" customHeight="false" outlineLevel="0" collapsed="false">
      <c r="A76" s="45" t="s">
        <v>106</v>
      </c>
      <c r="B76" s="45"/>
      <c r="C76" s="45"/>
      <c r="D76" s="45"/>
      <c r="E76" s="45"/>
      <c r="F76" s="45"/>
      <c r="G76" s="45"/>
      <c r="H76" s="45"/>
      <c r="I76" s="45"/>
      <c r="J76" s="44"/>
    </row>
    <row r="77" customFormat="false" ht="12.8" hidden="false" customHeight="true" outlineLevel="0" collapsed="false">
      <c r="A77" s="32" t="s">
        <v>107</v>
      </c>
      <c r="B77" s="32"/>
      <c r="C77" s="32"/>
      <c r="D77" s="32"/>
      <c r="E77" s="32"/>
      <c r="F77" s="32"/>
      <c r="G77" s="32"/>
      <c r="H77" s="70" t="s">
        <v>108</v>
      </c>
      <c r="I77" s="70" t="s">
        <v>109</v>
      </c>
      <c r="J77" s="44"/>
    </row>
    <row r="78" customFormat="false" ht="12.8" hidden="false" customHeight="false" outlineLevel="0" collapsed="false">
      <c r="A78" s="32"/>
      <c r="B78" s="32"/>
      <c r="C78" s="32"/>
      <c r="D78" s="32"/>
      <c r="E78" s="32"/>
      <c r="F78" s="32"/>
      <c r="G78" s="32"/>
      <c r="H78" s="70"/>
      <c r="I78" s="70"/>
      <c r="J78" s="44"/>
    </row>
    <row r="79" customFormat="false" ht="13.8" hidden="false" customHeight="false" outlineLevel="0" collapsed="false">
      <c r="A79" s="35" t="s">
        <v>8</v>
      </c>
      <c r="B79" s="46" t="s">
        <v>110</v>
      </c>
      <c r="C79" s="46"/>
      <c r="D79" s="46"/>
      <c r="E79" s="46"/>
      <c r="F79" s="46"/>
      <c r="G79" s="46"/>
      <c r="H79" s="47" t="n">
        <v>0.6904</v>
      </c>
      <c r="I79" s="71" t="n">
        <f aca="false">(1*30)*H79</f>
        <v>20.712</v>
      </c>
      <c r="J79" s="44"/>
    </row>
    <row r="80" customFormat="false" ht="13.8" hidden="false" customHeight="false" outlineLevel="0" collapsed="false">
      <c r="A80" s="35" t="s">
        <v>10</v>
      </c>
      <c r="B80" s="46" t="s">
        <v>111</v>
      </c>
      <c r="C80" s="46"/>
      <c r="D80" s="46"/>
      <c r="E80" s="46"/>
      <c r="F80" s="46"/>
      <c r="G80" s="46"/>
      <c r="H80" s="47" t="n">
        <v>1</v>
      </c>
      <c r="I80" s="71" t="n">
        <f aca="false">(1*1)*H80</f>
        <v>1</v>
      </c>
      <c r="J80" s="44"/>
    </row>
    <row r="81" customFormat="false" ht="13.8" hidden="false" customHeight="false" outlineLevel="0" collapsed="false">
      <c r="A81" s="35" t="s">
        <v>13</v>
      </c>
      <c r="B81" s="46" t="s">
        <v>112</v>
      </c>
      <c r="C81" s="46"/>
      <c r="D81" s="46"/>
      <c r="E81" s="46"/>
      <c r="F81" s="46"/>
      <c r="G81" s="46"/>
      <c r="H81" s="47" t="n">
        <v>0.6904</v>
      </c>
      <c r="I81" s="71" t="n">
        <f aca="false">(0.0922*15)*H81</f>
        <v>0.9548232</v>
      </c>
      <c r="J81" s="44"/>
    </row>
    <row r="82" customFormat="false" ht="13.8" hidden="false" customHeight="false" outlineLevel="0" collapsed="false">
      <c r="A82" s="35" t="s">
        <v>16</v>
      </c>
      <c r="B82" s="46" t="s">
        <v>113</v>
      </c>
      <c r="C82" s="46"/>
      <c r="D82" s="46"/>
      <c r="E82" s="46"/>
      <c r="F82" s="46"/>
      <c r="G82" s="46"/>
      <c r="H82" s="47" t="n">
        <v>0.6904</v>
      </c>
      <c r="I82" s="71" t="n">
        <f aca="false">(1*5)*H82</f>
        <v>3.452</v>
      </c>
      <c r="J82" s="44"/>
    </row>
    <row r="83" customFormat="false" ht="13.8" hidden="false" customHeight="false" outlineLevel="0" collapsed="false">
      <c r="A83" s="35" t="s">
        <v>55</v>
      </c>
      <c r="B83" s="46" t="s">
        <v>114</v>
      </c>
      <c r="C83" s="46"/>
      <c r="D83" s="46"/>
      <c r="E83" s="46"/>
      <c r="F83" s="46"/>
      <c r="G83" s="46"/>
      <c r="H83" s="47" t="n">
        <v>1</v>
      </c>
      <c r="I83" s="71" t="n">
        <f aca="false">(0.1522*2)*H83</f>
        <v>0.3044</v>
      </c>
      <c r="J83" s="44"/>
    </row>
    <row r="84" customFormat="false" ht="13.8" hidden="false" customHeight="false" outlineLevel="0" collapsed="false">
      <c r="A84" s="35" t="s">
        <v>57</v>
      </c>
      <c r="B84" s="46" t="s">
        <v>115</v>
      </c>
      <c r="C84" s="46"/>
      <c r="D84" s="46"/>
      <c r="E84" s="46"/>
      <c r="F84" s="46"/>
      <c r="G84" s="46"/>
      <c r="H84" s="47" t="n">
        <v>0.6904</v>
      </c>
      <c r="I84" s="71" t="n">
        <f aca="false">(0.0309*2)*H84</f>
        <v>0.04266672</v>
      </c>
      <c r="J84" s="44"/>
    </row>
    <row r="85" customFormat="false" ht="13.8" hidden="false" customHeight="false" outlineLevel="0" collapsed="false">
      <c r="A85" s="35" t="s">
        <v>59</v>
      </c>
      <c r="B85" s="46" t="s">
        <v>116</v>
      </c>
      <c r="C85" s="46"/>
      <c r="D85" s="46"/>
      <c r="E85" s="46"/>
      <c r="F85" s="46"/>
      <c r="G85" s="46"/>
      <c r="H85" s="47" t="n">
        <v>1</v>
      </c>
      <c r="I85" s="71" t="n">
        <f aca="false">(0.0123*3)*H85</f>
        <v>0.0369</v>
      </c>
      <c r="J85" s="44"/>
    </row>
    <row r="86" customFormat="false" ht="13.8" hidden="false" customHeight="false" outlineLevel="0" collapsed="false">
      <c r="A86" s="35" t="s">
        <v>61</v>
      </c>
      <c r="B86" s="46" t="s">
        <v>117</v>
      </c>
      <c r="C86" s="46"/>
      <c r="D86" s="46"/>
      <c r="E86" s="46"/>
      <c r="F86" s="46"/>
      <c r="G86" s="46"/>
      <c r="H86" s="47" t="n">
        <v>1</v>
      </c>
      <c r="I86" s="71" t="n">
        <f aca="false">(0.02*1)*H86</f>
        <v>0.02</v>
      </c>
      <c r="J86" s="44"/>
    </row>
    <row r="87" customFormat="false" ht="13.8" hidden="false" customHeight="false" outlineLevel="0" collapsed="false">
      <c r="A87" s="35" t="s">
        <v>118</v>
      </c>
      <c r="B87" s="46" t="s">
        <v>119</v>
      </c>
      <c r="C87" s="46"/>
      <c r="D87" s="46"/>
      <c r="E87" s="46"/>
      <c r="F87" s="46"/>
      <c r="G87" s="46"/>
      <c r="H87" s="47" t="n">
        <v>1</v>
      </c>
      <c r="I87" s="71" t="n">
        <f aca="false">(0.004*1)*H87</f>
        <v>0.004</v>
      </c>
      <c r="J87" s="44"/>
    </row>
    <row r="88" customFormat="false" ht="13.8" hidden="false" customHeight="false" outlineLevel="0" collapsed="false">
      <c r="A88" s="35" t="s">
        <v>120</v>
      </c>
      <c r="B88" s="46" t="s">
        <v>121</v>
      </c>
      <c r="C88" s="46"/>
      <c r="D88" s="46"/>
      <c r="E88" s="46"/>
      <c r="F88" s="46"/>
      <c r="G88" s="46"/>
      <c r="H88" s="47" t="n">
        <v>0.6904</v>
      </c>
      <c r="I88" s="71" t="n">
        <f aca="false">(0.0137*20)*H88</f>
        <v>0.1891696</v>
      </c>
      <c r="J88" s="44"/>
    </row>
    <row r="89" customFormat="false" ht="13.8" hidden="false" customHeight="false" outlineLevel="0" collapsed="false">
      <c r="A89" s="35" t="s">
        <v>122</v>
      </c>
      <c r="B89" s="46" t="s">
        <v>123</v>
      </c>
      <c r="C89" s="46"/>
      <c r="D89" s="46"/>
      <c r="E89" s="46"/>
      <c r="F89" s="46"/>
      <c r="G89" s="46"/>
      <c r="H89" s="47" t="n">
        <v>0.6904</v>
      </c>
      <c r="I89" s="71" t="n">
        <f aca="false">(0.0199*180)*H89</f>
        <v>2.4730128</v>
      </c>
      <c r="J89" s="44"/>
    </row>
    <row r="90" customFormat="false" ht="13.8" hidden="false" customHeight="false" outlineLevel="0" collapsed="false">
      <c r="A90" s="35" t="s">
        <v>124</v>
      </c>
      <c r="B90" s="46" t="s">
        <v>125</v>
      </c>
      <c r="C90" s="46"/>
      <c r="D90" s="46"/>
      <c r="E90" s="46"/>
      <c r="F90" s="46"/>
      <c r="G90" s="46"/>
      <c r="H90" s="47" t="n">
        <v>1</v>
      </c>
      <c r="I90" s="71" t="n">
        <f aca="false">(0.002*6)*H90</f>
        <v>0.012</v>
      </c>
      <c r="J90" s="44"/>
    </row>
    <row r="91" customFormat="false" ht="13.8" hidden="false" customHeight="false" outlineLevel="0" collapsed="false">
      <c r="A91" s="35" t="s">
        <v>126</v>
      </c>
      <c r="B91" s="35"/>
      <c r="C91" s="35"/>
      <c r="D91" s="35"/>
      <c r="E91" s="35"/>
      <c r="F91" s="35"/>
      <c r="G91" s="35"/>
      <c r="H91" s="53" t="n">
        <f aca="false">(SUM(H79:H90))</f>
        <v>10.1424</v>
      </c>
      <c r="I91" s="72" t="n">
        <f aca="false">(SUM(I79:I90))</f>
        <v>29.20097232</v>
      </c>
      <c r="J91" s="44"/>
    </row>
    <row r="92" customFormat="false" ht="13.8" hidden="false" customHeight="false" outlineLevel="0" collapsed="false">
      <c r="A92" s="73"/>
      <c r="B92" s="73"/>
      <c r="C92" s="73"/>
      <c r="D92" s="73"/>
      <c r="E92" s="73"/>
      <c r="F92" s="73"/>
      <c r="G92" s="73"/>
      <c r="H92" s="73"/>
      <c r="I92" s="73"/>
      <c r="J92" s="44"/>
    </row>
    <row r="93" customFormat="false" ht="13.8" hidden="false" customHeight="false" outlineLevel="0" collapsed="false">
      <c r="A93" s="32" t="s">
        <v>127</v>
      </c>
      <c r="B93" s="32"/>
      <c r="C93" s="32"/>
      <c r="D93" s="32"/>
      <c r="E93" s="32"/>
      <c r="F93" s="32"/>
      <c r="G93" s="35" t="s">
        <v>128</v>
      </c>
      <c r="H93" s="35" t="s">
        <v>129</v>
      </c>
      <c r="I93" s="35" t="s">
        <v>39</v>
      </c>
      <c r="J93" s="44"/>
    </row>
    <row r="94" customFormat="false" ht="13.8" hidden="false" customHeight="false" outlineLevel="0" collapsed="false">
      <c r="A94" s="35" t="s">
        <v>8</v>
      </c>
      <c r="B94" s="52" t="s">
        <v>165</v>
      </c>
      <c r="C94" s="52"/>
      <c r="D94" s="52"/>
      <c r="E94" s="52"/>
      <c r="F94" s="52"/>
      <c r="G94" s="65" t="n">
        <f aca="false">I13+I49+I59</f>
        <v>3371.44452998889</v>
      </c>
      <c r="H94" s="61" t="n">
        <v>30</v>
      </c>
      <c r="I94" s="48" t="n">
        <f aca="false">G94/H94</f>
        <v>112.381484332963</v>
      </c>
      <c r="J94" s="44"/>
    </row>
    <row r="95" customFormat="false" ht="13.8" hidden="false" customHeight="false" outlineLevel="0" collapsed="false">
      <c r="A95" s="35" t="s">
        <v>130</v>
      </c>
      <c r="B95" s="35"/>
      <c r="C95" s="35"/>
      <c r="D95" s="35"/>
      <c r="E95" s="35"/>
      <c r="F95" s="35"/>
      <c r="G95" s="35"/>
      <c r="H95" s="35"/>
      <c r="I95" s="54" t="n">
        <f aca="false">SUM(I94)</f>
        <v>112.381484332963</v>
      </c>
      <c r="J95" s="44"/>
    </row>
    <row r="96" customFormat="false" ht="13.8" hidden="false" customHeight="false" outlineLevel="0" collapsed="false">
      <c r="A96" s="74"/>
      <c r="B96" s="74"/>
      <c r="C96" s="74"/>
      <c r="D96" s="74"/>
      <c r="E96" s="74"/>
      <c r="F96" s="74"/>
      <c r="G96" s="74"/>
      <c r="H96" s="74"/>
      <c r="I96" s="74"/>
      <c r="J96" s="44"/>
    </row>
    <row r="97" customFormat="false" ht="13.8" hidden="false" customHeight="false" outlineLevel="0" collapsed="false">
      <c r="A97" s="74" t="s">
        <v>131</v>
      </c>
      <c r="B97" s="74"/>
      <c r="C97" s="74"/>
      <c r="D97" s="74"/>
      <c r="E97" s="74"/>
      <c r="F97" s="74"/>
      <c r="G97" s="74"/>
      <c r="H97" s="74"/>
      <c r="I97" s="74"/>
      <c r="J97" s="44"/>
    </row>
    <row r="98" customFormat="false" ht="13.8" hidden="false" customHeight="false" outlineLevel="0" collapsed="false">
      <c r="A98" s="75"/>
      <c r="B98" s="75" t="s">
        <v>132</v>
      </c>
      <c r="C98" s="75"/>
      <c r="D98" s="75"/>
      <c r="E98" s="75"/>
      <c r="F98" s="76" t="s">
        <v>130</v>
      </c>
      <c r="G98" s="76" t="s">
        <v>109</v>
      </c>
      <c r="H98" s="76" t="s">
        <v>133</v>
      </c>
      <c r="I98" s="76" t="s">
        <v>39</v>
      </c>
      <c r="J98" s="44"/>
    </row>
    <row r="99" customFormat="false" ht="13.8" hidden="false" customHeight="false" outlineLevel="0" collapsed="false">
      <c r="A99" s="75" t="s">
        <v>8</v>
      </c>
      <c r="B99" s="77" t="s">
        <v>165</v>
      </c>
      <c r="C99" s="77"/>
      <c r="D99" s="77"/>
      <c r="E99" s="77"/>
      <c r="F99" s="78" t="n">
        <f aca="false">I95</f>
        <v>112.381484332963</v>
      </c>
      <c r="G99" s="79" t="n">
        <f aca="false">I91</f>
        <v>29.20097232</v>
      </c>
      <c r="H99" s="78" t="n">
        <f aca="false">G99*F99</f>
        <v>3281.64861328737</v>
      </c>
      <c r="I99" s="78" t="n">
        <f aca="false">H99/12</f>
        <v>273.470717773947</v>
      </c>
      <c r="J99" s="44"/>
    </row>
    <row r="100" customFormat="false" ht="13.8" hidden="false" customHeight="false" outlineLevel="0" collapsed="false">
      <c r="A100" s="75"/>
      <c r="B100" s="75" t="s">
        <v>134</v>
      </c>
      <c r="C100" s="75"/>
      <c r="D100" s="75"/>
      <c r="E100" s="75"/>
      <c r="F100" s="75"/>
      <c r="G100" s="75"/>
      <c r="H100" s="75"/>
      <c r="I100" s="80" t="n">
        <f aca="false">I99</f>
        <v>273.470717773947</v>
      </c>
      <c r="J100" s="44"/>
    </row>
    <row r="101" customFormat="false" ht="13.8" hidden="false" customHeight="false" outlineLevel="0" collapsed="false">
      <c r="A101" s="81"/>
      <c r="B101" s="81"/>
      <c r="C101" s="81"/>
      <c r="D101" s="81"/>
      <c r="E101" s="81"/>
      <c r="F101" s="81"/>
      <c r="G101" s="81"/>
      <c r="H101" s="81"/>
      <c r="I101" s="81"/>
      <c r="J101" s="44"/>
    </row>
    <row r="102" customFormat="false" ht="13.8" hidden="false" customHeight="false" outlineLevel="0" collapsed="false">
      <c r="A102" s="67" t="s">
        <v>135</v>
      </c>
      <c r="B102" s="67"/>
      <c r="C102" s="67"/>
      <c r="D102" s="67"/>
      <c r="E102" s="67"/>
      <c r="F102" s="67"/>
      <c r="G102" s="67"/>
      <c r="H102" s="67"/>
      <c r="I102" s="67"/>
      <c r="J102" s="44"/>
    </row>
    <row r="103" customFormat="false" ht="13.8" hidden="false" customHeight="false" outlineLevel="0" collapsed="false">
      <c r="A103" s="35" t="s">
        <v>136</v>
      </c>
      <c r="B103" s="35"/>
      <c r="C103" s="35"/>
      <c r="D103" s="35"/>
      <c r="E103" s="35"/>
      <c r="F103" s="35"/>
      <c r="G103" s="35"/>
      <c r="H103" s="35"/>
      <c r="I103" s="35" t="s">
        <v>39</v>
      </c>
      <c r="J103" s="44"/>
    </row>
    <row r="104" customFormat="false" ht="13.8" hidden="false" customHeight="false" outlineLevel="0" collapsed="false">
      <c r="A104" s="35" t="s">
        <v>137</v>
      </c>
      <c r="B104" s="46" t="s">
        <v>138</v>
      </c>
      <c r="C104" s="46"/>
      <c r="D104" s="46"/>
      <c r="E104" s="46"/>
      <c r="F104" s="46"/>
      <c r="G104" s="46"/>
      <c r="H104" s="46"/>
      <c r="I104" s="48" t="n">
        <f aca="false">I100</f>
        <v>273.470717773947</v>
      </c>
      <c r="J104" s="44"/>
    </row>
    <row r="105" customFormat="false" ht="13.8" hidden="false" customHeight="false" outlineLevel="0" collapsed="false">
      <c r="A105" s="35" t="s">
        <v>139</v>
      </c>
      <c r="B105" s="35"/>
      <c r="C105" s="35"/>
      <c r="D105" s="35"/>
      <c r="E105" s="35"/>
      <c r="F105" s="35"/>
      <c r="G105" s="35"/>
      <c r="H105" s="35"/>
      <c r="I105" s="54" t="n">
        <f aca="false">SUM(I104:I104)</f>
        <v>273.470717773947</v>
      </c>
      <c r="J105" s="44"/>
    </row>
    <row r="106" customFormat="false" ht="13.8" hidden="false" customHeight="false" outlineLevel="0" collapsed="false">
      <c r="A106" s="68"/>
      <c r="B106" s="68"/>
      <c r="C106" s="68"/>
      <c r="D106" s="68"/>
      <c r="E106" s="68"/>
      <c r="F106" s="68"/>
      <c r="G106" s="68"/>
      <c r="H106" s="68"/>
      <c r="I106" s="68"/>
      <c r="J106" s="44"/>
    </row>
    <row r="107" customFormat="false" ht="13.8" hidden="false" customHeight="false" outlineLevel="0" collapsed="false">
      <c r="A107" s="45" t="s">
        <v>140</v>
      </c>
      <c r="B107" s="45"/>
      <c r="C107" s="45"/>
      <c r="D107" s="45"/>
      <c r="E107" s="45"/>
      <c r="F107" s="45"/>
      <c r="G107" s="45"/>
      <c r="H107" s="45"/>
      <c r="I107" s="45"/>
      <c r="J107" s="44"/>
      <c r="K107" s="82"/>
    </row>
    <row r="108" customFormat="false" ht="13.8" hidden="false" customHeight="false" outlineLevel="0" collapsed="false">
      <c r="A108" s="35" t="n">
        <v>5</v>
      </c>
      <c r="B108" s="35" t="s">
        <v>141</v>
      </c>
      <c r="C108" s="35"/>
      <c r="D108" s="35"/>
      <c r="E108" s="35"/>
      <c r="F108" s="35"/>
      <c r="G108" s="35"/>
      <c r="H108" s="35"/>
      <c r="I108" s="35" t="s">
        <v>39</v>
      </c>
      <c r="J108" s="44"/>
    </row>
    <row r="109" customFormat="false" ht="13.8" hidden="false" customHeight="false" outlineLevel="0" collapsed="false">
      <c r="A109" s="35" t="s">
        <v>8</v>
      </c>
      <c r="B109" s="66" t="s">
        <v>142</v>
      </c>
      <c r="C109" s="66"/>
      <c r="D109" s="66"/>
      <c r="E109" s="66"/>
      <c r="F109" s="66"/>
      <c r="G109" s="66"/>
      <c r="H109" s="61" t="s">
        <v>70</v>
      </c>
      <c r="I109" s="48" t="n">
        <f aca="false">Uniformes!G26</f>
        <v>45.8116666666667</v>
      </c>
      <c r="J109" s="44"/>
    </row>
    <row r="110" customFormat="false" ht="13.8" hidden="false" customHeight="false" outlineLevel="0" collapsed="false">
      <c r="A110" s="35" t="s">
        <v>10</v>
      </c>
      <c r="B110" s="66" t="s">
        <v>143</v>
      </c>
      <c r="C110" s="66"/>
      <c r="D110" s="66"/>
      <c r="E110" s="66"/>
      <c r="F110" s="66"/>
      <c r="G110" s="66"/>
      <c r="H110" s="61" t="s">
        <v>70</v>
      </c>
      <c r="I110" s="48" t="n">
        <f aca="false">EPIs!G31</f>
        <v>33.0425</v>
      </c>
    </row>
    <row r="111" customFormat="false" ht="13.8" hidden="false" customHeight="false" outlineLevel="0" collapsed="false">
      <c r="A111" s="83" t="s">
        <v>13</v>
      </c>
      <c r="B111" s="66" t="s">
        <v>144</v>
      </c>
      <c r="C111" s="66"/>
      <c r="D111" s="66"/>
      <c r="E111" s="66"/>
      <c r="F111" s="66"/>
      <c r="G111" s="66"/>
      <c r="H111" s="61" t="s">
        <v>70</v>
      </c>
      <c r="I111" s="48" t="n">
        <f aca="false">Materiais!G12</f>
        <v>277.39</v>
      </c>
      <c r="K111" s="84"/>
    </row>
    <row r="112" customFormat="false" ht="13.8" hidden="false" customHeight="false" outlineLevel="0" collapsed="false">
      <c r="A112" s="83" t="s">
        <v>16</v>
      </c>
      <c r="B112" s="66" t="s">
        <v>145</v>
      </c>
      <c r="C112" s="66"/>
      <c r="D112" s="66"/>
      <c r="E112" s="66"/>
      <c r="F112" s="66"/>
      <c r="G112" s="66"/>
      <c r="H112" s="61" t="s">
        <v>70</v>
      </c>
      <c r="I112" s="48" t="n">
        <f aca="false">Equipamentos!J15</f>
        <v>4.08311111111111</v>
      </c>
    </row>
    <row r="113" customFormat="false" ht="13.8" hidden="false" customHeight="false" outlineLevel="0" collapsed="false">
      <c r="A113" s="83" t="s">
        <v>55</v>
      </c>
      <c r="B113" s="66" t="s">
        <v>146</v>
      </c>
      <c r="C113" s="66"/>
      <c r="D113" s="66"/>
      <c r="E113" s="66"/>
      <c r="F113" s="66"/>
      <c r="G113" s="66"/>
      <c r="H113" s="61" t="s">
        <v>70</v>
      </c>
      <c r="I113" s="48" t="n">
        <v>0</v>
      </c>
    </row>
    <row r="114" customFormat="false" ht="13.8" hidden="false" customHeight="false" outlineLevel="0" collapsed="false">
      <c r="A114" s="35" t="s">
        <v>147</v>
      </c>
      <c r="B114" s="35"/>
      <c r="C114" s="35"/>
      <c r="D114" s="35"/>
      <c r="E114" s="35"/>
      <c r="F114" s="35"/>
      <c r="G114" s="35"/>
      <c r="H114" s="53" t="s">
        <v>70</v>
      </c>
      <c r="I114" s="54" t="n">
        <f aca="false">SUM(I109:I113)</f>
        <v>360.327277777778</v>
      </c>
    </row>
    <row r="115" customFormat="false" ht="13.8" hidden="false" customHeight="false" outlineLevel="0" collapsed="false">
      <c r="A115" s="68"/>
      <c r="B115" s="68"/>
      <c r="C115" s="68"/>
      <c r="D115" s="68"/>
      <c r="E115" s="68"/>
      <c r="F115" s="68"/>
      <c r="G115" s="68"/>
      <c r="H115" s="68"/>
      <c r="I115" s="68"/>
      <c r="K115" s="84"/>
    </row>
    <row r="116" customFormat="false" ht="13.8" hidden="false" customHeight="false" outlineLevel="0" collapsed="false">
      <c r="A116" s="45" t="s">
        <v>148</v>
      </c>
      <c r="B116" s="45"/>
      <c r="C116" s="45"/>
      <c r="D116" s="45"/>
      <c r="E116" s="45"/>
      <c r="F116" s="45"/>
      <c r="G116" s="45"/>
      <c r="H116" s="45"/>
      <c r="I116" s="45"/>
      <c r="K116" s="84"/>
    </row>
    <row r="117" customFormat="false" ht="13.8" hidden="false" customHeight="false" outlineLevel="0" collapsed="false">
      <c r="A117" s="35" t="n">
        <v>6</v>
      </c>
      <c r="B117" s="35" t="s">
        <v>149</v>
      </c>
      <c r="C117" s="35"/>
      <c r="D117" s="35"/>
      <c r="E117" s="35"/>
      <c r="F117" s="35"/>
      <c r="G117" s="35"/>
      <c r="H117" s="35" t="s">
        <v>38</v>
      </c>
      <c r="I117" s="35" t="s">
        <v>39</v>
      </c>
    </row>
    <row r="118" customFormat="false" ht="13.8" hidden="false" customHeight="false" outlineLevel="0" collapsed="false">
      <c r="A118" s="35" t="s">
        <v>8</v>
      </c>
      <c r="B118" s="46" t="s">
        <v>150</v>
      </c>
      <c r="C118" s="46"/>
      <c r="D118" s="46"/>
      <c r="E118" s="46"/>
      <c r="F118" s="46"/>
      <c r="G118" s="46"/>
      <c r="H118" s="47" t="n">
        <v>0.06</v>
      </c>
      <c r="I118" s="41" t="n">
        <f aca="false">H118*I133</f>
        <v>238.262060880825</v>
      </c>
      <c r="K118" s="85"/>
    </row>
    <row r="119" customFormat="false" ht="13.8" hidden="false" customHeight="false" outlineLevel="0" collapsed="false">
      <c r="A119" s="35" t="s">
        <v>10</v>
      </c>
      <c r="B119" s="46" t="s">
        <v>151</v>
      </c>
      <c r="C119" s="46"/>
      <c r="D119" s="46"/>
      <c r="E119" s="46"/>
      <c r="F119" s="46"/>
      <c r="G119" s="46"/>
      <c r="H119" s="47" t="n">
        <v>0.0679</v>
      </c>
      <c r="I119" s="41" t="n">
        <f aca="false">(H119*(I118+I133))</f>
        <v>285.811226163942</v>
      </c>
    </row>
    <row r="120" customFormat="false" ht="13.8" hidden="false" customHeight="false" outlineLevel="0" collapsed="false">
      <c r="A120" s="35" t="s">
        <v>13</v>
      </c>
      <c r="B120" s="32" t="s">
        <v>152</v>
      </c>
      <c r="C120" s="32"/>
      <c r="D120" s="32"/>
      <c r="E120" s="32" t="s">
        <v>128</v>
      </c>
      <c r="F120" s="32"/>
      <c r="G120" s="57" t="n">
        <f aca="false">(I133+I118+I119)</f>
        <v>4495.10763505851</v>
      </c>
      <c r="H120" s="86" t="n">
        <f aca="false">SUM(H121:H123)</f>
        <v>0.1325</v>
      </c>
      <c r="I120" s="41"/>
    </row>
    <row r="121" customFormat="false" ht="13.8" hidden="false" customHeight="false" outlineLevel="0" collapsed="false">
      <c r="A121" s="35" t="s">
        <v>153</v>
      </c>
      <c r="B121" s="46" t="s">
        <v>154</v>
      </c>
      <c r="C121" s="46"/>
      <c r="D121" s="46"/>
      <c r="E121" s="46"/>
      <c r="F121" s="46"/>
      <c r="G121" s="46"/>
      <c r="H121" s="86" t="n">
        <v>0.0165</v>
      </c>
      <c r="I121" s="48" t="n">
        <f aca="false">($G$120/(1-$H$120)*H121)</f>
        <v>85.4977244708536</v>
      </c>
    </row>
    <row r="122" customFormat="false" ht="13.8" hidden="false" customHeight="false" outlineLevel="0" collapsed="false">
      <c r="A122" s="35" t="s">
        <v>155</v>
      </c>
      <c r="B122" s="46" t="s">
        <v>156</v>
      </c>
      <c r="C122" s="46"/>
      <c r="D122" s="46"/>
      <c r="E122" s="46"/>
      <c r="F122" s="46"/>
      <c r="G122" s="46"/>
      <c r="H122" s="86" t="n">
        <v>0.076</v>
      </c>
      <c r="I122" s="48" t="n">
        <f aca="false">($G$120/(1-$H$120)*H122)</f>
        <v>393.807700593023</v>
      </c>
    </row>
    <row r="123" customFormat="false" ht="13.8" hidden="false" customHeight="false" outlineLevel="0" collapsed="false">
      <c r="A123" s="35" t="s">
        <v>157</v>
      </c>
      <c r="B123" s="46" t="s">
        <v>158</v>
      </c>
      <c r="C123" s="46"/>
      <c r="D123" s="46"/>
      <c r="E123" s="46"/>
      <c r="F123" s="46"/>
      <c r="G123" s="46"/>
      <c r="H123" s="86" t="n">
        <v>0.04</v>
      </c>
      <c r="I123" s="48" t="n">
        <f aca="false">($G$120/(1-$H$120)*H123)</f>
        <v>207.267210838433</v>
      </c>
    </row>
    <row r="124" customFormat="false" ht="13.8" hidden="false" customHeight="false" outlineLevel="0" collapsed="false">
      <c r="A124" s="35" t="s">
        <v>159</v>
      </c>
      <c r="B124" s="35"/>
      <c r="C124" s="35"/>
      <c r="D124" s="35"/>
      <c r="E124" s="35"/>
      <c r="F124" s="35"/>
      <c r="G124" s="35"/>
      <c r="H124" s="86" t="n">
        <f aca="false">H118+H119+H121+H122+H123</f>
        <v>0.2604</v>
      </c>
      <c r="I124" s="54" t="n">
        <f aca="false">SUM(I118+I119+I121+I122+I123)</f>
        <v>1210.64592294708</v>
      </c>
    </row>
    <row r="125" customFormat="false" ht="13.8" hidden="false" customHeight="false" outlineLevel="0" collapsed="false">
      <c r="A125" s="32"/>
      <c r="B125" s="32"/>
      <c r="C125" s="32"/>
      <c r="D125" s="32"/>
      <c r="E125" s="32"/>
      <c r="F125" s="32"/>
      <c r="G125" s="32"/>
      <c r="H125" s="32"/>
      <c r="I125" s="32"/>
    </row>
    <row r="126" customFormat="false" ht="13.8" hidden="false" customHeight="false" outlineLevel="0" collapsed="false">
      <c r="A126" s="67" t="s">
        <v>27</v>
      </c>
      <c r="B126" s="67"/>
      <c r="C126" s="67"/>
      <c r="D126" s="67"/>
      <c r="E126" s="67"/>
      <c r="F126" s="67"/>
      <c r="G126" s="67"/>
      <c r="H126" s="67"/>
      <c r="I126" s="67"/>
    </row>
    <row r="127" customFormat="false" ht="13.8" hidden="false" customHeight="false" outlineLevel="0" collapsed="false">
      <c r="A127" s="35" t="s">
        <v>166</v>
      </c>
      <c r="B127" s="35"/>
      <c r="C127" s="35"/>
      <c r="D127" s="35"/>
      <c r="E127" s="35"/>
      <c r="F127" s="35"/>
      <c r="G127" s="35"/>
      <c r="H127" s="35"/>
      <c r="I127" s="35" t="s">
        <v>39</v>
      </c>
    </row>
    <row r="128" customFormat="false" ht="13.8" hidden="false" customHeight="false" outlineLevel="0" collapsed="false">
      <c r="A128" s="61" t="s">
        <v>8</v>
      </c>
      <c r="B128" s="46" t="s">
        <v>36</v>
      </c>
      <c r="C128" s="46"/>
      <c r="D128" s="46"/>
      <c r="E128" s="46"/>
      <c r="F128" s="46"/>
      <c r="G128" s="46"/>
      <c r="H128" s="46"/>
      <c r="I128" s="48" t="n">
        <f aca="false">I13</f>
        <v>1575.05</v>
      </c>
    </row>
    <row r="129" customFormat="false" ht="13.8" hidden="false" customHeight="false" outlineLevel="0" collapsed="false">
      <c r="A129" s="61" t="s">
        <v>10</v>
      </c>
      <c r="B129" s="46" t="str">
        <f aca="false">A15</f>
        <v>MÓDULO 2 – ENCARGOS E BENEFÍCIOS ANUAIS, MENSAIS E DIÁRIOS</v>
      </c>
      <c r="C129" s="46"/>
      <c r="D129" s="46"/>
      <c r="E129" s="46"/>
      <c r="F129" s="46"/>
      <c r="G129" s="46"/>
      <c r="H129" s="46"/>
      <c r="I129" s="48" t="n">
        <f aca="false">I49</f>
        <v>1537.05264306667</v>
      </c>
    </row>
    <row r="130" customFormat="false" ht="13.8" hidden="false" customHeight="false" outlineLevel="0" collapsed="false">
      <c r="A130" s="61" t="s">
        <v>13</v>
      </c>
      <c r="B130" s="46" t="str">
        <f aca="false">A51</f>
        <v>MÓDULO 3 – PROVISÃO PARA RESCISÃO</v>
      </c>
      <c r="C130" s="46"/>
      <c r="D130" s="46"/>
      <c r="E130" s="46"/>
      <c r="F130" s="46"/>
      <c r="G130" s="46"/>
      <c r="H130" s="46"/>
      <c r="I130" s="48" t="n">
        <f aca="false">I74</f>
        <v>225.133709395353</v>
      </c>
    </row>
    <row r="131" customFormat="false" ht="13.8" hidden="false" customHeight="false" outlineLevel="0" collapsed="false">
      <c r="A131" s="61" t="s">
        <v>16</v>
      </c>
      <c r="B131" s="46" t="str">
        <f aca="false">A76</f>
        <v>MÓDULO 4 – CUSTO DE REPOSIÇÃO DO PROFISSIONAL AUSENTE</v>
      </c>
      <c r="C131" s="46"/>
      <c r="D131" s="46"/>
      <c r="E131" s="46"/>
      <c r="F131" s="46"/>
      <c r="G131" s="46"/>
      <c r="H131" s="46"/>
      <c r="I131" s="48" t="n">
        <f aca="false">I105</f>
        <v>273.470717773947</v>
      </c>
    </row>
    <row r="132" customFormat="false" ht="13.8" hidden="false" customHeight="false" outlineLevel="0" collapsed="false">
      <c r="A132" s="61" t="s">
        <v>55</v>
      </c>
      <c r="B132" s="46" t="str">
        <f aca="false">A107</f>
        <v>MÓDULO 5 – INSUMOS DIVERSOS</v>
      </c>
      <c r="C132" s="46"/>
      <c r="D132" s="46"/>
      <c r="E132" s="46"/>
      <c r="F132" s="46"/>
      <c r="G132" s="46"/>
      <c r="H132" s="46"/>
      <c r="I132" s="48" t="n">
        <f aca="false">I114</f>
        <v>360.327277777778</v>
      </c>
    </row>
    <row r="133" customFormat="false" ht="13.8" hidden="false" customHeight="false" outlineLevel="0" collapsed="false">
      <c r="A133" s="35"/>
      <c r="B133" s="35" t="s">
        <v>161</v>
      </c>
      <c r="C133" s="35"/>
      <c r="D133" s="35"/>
      <c r="E133" s="35"/>
      <c r="F133" s="35"/>
      <c r="G133" s="35"/>
      <c r="H133" s="35"/>
      <c r="I133" s="54" t="n">
        <f aca="false">SUM(I128:I132)</f>
        <v>3971.03434801375</v>
      </c>
    </row>
    <row r="134" customFormat="false" ht="13.8" hidden="false" customHeight="false" outlineLevel="0" collapsed="false">
      <c r="A134" s="61" t="s">
        <v>57</v>
      </c>
      <c r="B134" s="46" t="str">
        <f aca="false">A116</f>
        <v>MÓDULO 6 – CUSTOS INDIRETOS, TRIBUTOS E LUCRO</v>
      </c>
      <c r="C134" s="46"/>
      <c r="D134" s="46"/>
      <c r="E134" s="46"/>
      <c r="F134" s="46"/>
      <c r="G134" s="46"/>
      <c r="H134" s="46"/>
      <c r="I134" s="48" t="n">
        <f aca="false">I124</f>
        <v>1210.64592294708</v>
      </c>
    </row>
    <row r="135" customFormat="false" ht="13.8" hidden="false" customHeight="false" outlineLevel="0" collapsed="false">
      <c r="A135" s="35" t="s">
        <v>162</v>
      </c>
      <c r="B135" s="35"/>
      <c r="C135" s="35"/>
      <c r="D135" s="35"/>
      <c r="E135" s="35"/>
      <c r="F135" s="35"/>
      <c r="G135" s="35"/>
      <c r="H135" s="35"/>
      <c r="I135" s="54" t="n">
        <f aca="false">ROUNDDOWN(SUM(I133:I134),2)</f>
        <v>5181.68</v>
      </c>
    </row>
  </sheetData>
  <mergeCells count="145">
    <mergeCell ref="A1:I1"/>
    <mergeCell ref="A2:I2"/>
    <mergeCell ref="A4:I4"/>
    <mergeCell ref="B5:G5"/>
    <mergeCell ref="H5:I5"/>
    <mergeCell ref="B6:G6"/>
    <mergeCell ref="H6:I6"/>
    <mergeCell ref="B7:G7"/>
    <mergeCell ref="H7:I7"/>
    <mergeCell ref="B8:G8"/>
    <mergeCell ref="H8:I8"/>
    <mergeCell ref="A9:I9"/>
    <mergeCell ref="A10:I10"/>
    <mergeCell ref="B11:G11"/>
    <mergeCell ref="B12:G12"/>
    <mergeCell ref="A13:H13"/>
    <mergeCell ref="A14:I14"/>
    <mergeCell ref="A15:I15"/>
    <mergeCell ref="A16:G16"/>
    <mergeCell ref="B17:G17"/>
    <mergeCell ref="B18:G18"/>
    <mergeCell ref="B19:G19"/>
    <mergeCell ref="A20:G20"/>
    <mergeCell ref="A21:I21"/>
    <mergeCell ref="A22:G22"/>
    <mergeCell ref="B23:G23"/>
    <mergeCell ref="B24:G24"/>
    <mergeCell ref="A25:A26"/>
    <mergeCell ref="B25:G25"/>
    <mergeCell ref="H25:H26"/>
    <mergeCell ref="I25:I26"/>
    <mergeCell ref="B27:G27"/>
    <mergeCell ref="B28:G28"/>
    <mergeCell ref="B29:G29"/>
    <mergeCell ref="B30:G30"/>
    <mergeCell ref="B31:G31"/>
    <mergeCell ref="A32:G32"/>
    <mergeCell ref="A33:I33"/>
    <mergeCell ref="A34:G34"/>
    <mergeCell ref="A35:A36"/>
    <mergeCell ref="B35:E36"/>
    <mergeCell ref="F35:G35"/>
    <mergeCell ref="I35:I36"/>
    <mergeCell ref="F36:G36"/>
    <mergeCell ref="B37:G37"/>
    <mergeCell ref="B38:G38"/>
    <mergeCell ref="B39:G39"/>
    <mergeCell ref="B40:G40"/>
    <mergeCell ref="B41:G41"/>
    <mergeCell ref="A42:H42"/>
    <mergeCell ref="A43:I43"/>
    <mergeCell ref="A44:I44"/>
    <mergeCell ref="A45:H45"/>
    <mergeCell ref="B46:H46"/>
    <mergeCell ref="B47:H47"/>
    <mergeCell ref="B48:H48"/>
    <mergeCell ref="A49:H49"/>
    <mergeCell ref="A50:I50"/>
    <mergeCell ref="A51:I51"/>
    <mergeCell ref="A52:G52"/>
    <mergeCell ref="B53:G53"/>
    <mergeCell ref="B54:G54"/>
    <mergeCell ref="B55:G55"/>
    <mergeCell ref="A56:G56"/>
    <mergeCell ref="A57:I57"/>
    <mergeCell ref="A58:G58"/>
    <mergeCell ref="B59:G59"/>
    <mergeCell ref="B60:G60"/>
    <mergeCell ref="B61:G61"/>
    <mergeCell ref="A62:G62"/>
    <mergeCell ref="A63:I63"/>
    <mergeCell ref="A64:G64"/>
    <mergeCell ref="B65:G65"/>
    <mergeCell ref="B66:G66"/>
    <mergeCell ref="A67:G67"/>
    <mergeCell ref="A68:I68"/>
    <mergeCell ref="A69:I69"/>
    <mergeCell ref="A70:H70"/>
    <mergeCell ref="B71:H71"/>
    <mergeCell ref="B72:H72"/>
    <mergeCell ref="B73:H73"/>
    <mergeCell ref="A74:H74"/>
    <mergeCell ref="A75:I75"/>
    <mergeCell ref="A76:I76"/>
    <mergeCell ref="A77:G78"/>
    <mergeCell ref="H77:H78"/>
    <mergeCell ref="I77:I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A91:G91"/>
    <mergeCell ref="A92:I92"/>
    <mergeCell ref="A93:F93"/>
    <mergeCell ref="B94:F94"/>
    <mergeCell ref="A95:G95"/>
    <mergeCell ref="A96:I96"/>
    <mergeCell ref="A97:I97"/>
    <mergeCell ref="B98:E98"/>
    <mergeCell ref="B99:E99"/>
    <mergeCell ref="B100:H100"/>
    <mergeCell ref="A101:I101"/>
    <mergeCell ref="A102:I102"/>
    <mergeCell ref="A103:H103"/>
    <mergeCell ref="B104:H104"/>
    <mergeCell ref="A105:H105"/>
    <mergeCell ref="A106:I106"/>
    <mergeCell ref="A107:I107"/>
    <mergeCell ref="B108:G108"/>
    <mergeCell ref="B109:G109"/>
    <mergeCell ref="B110:G110"/>
    <mergeCell ref="B111:G111"/>
    <mergeCell ref="B112:G112"/>
    <mergeCell ref="B113:G113"/>
    <mergeCell ref="A114:G114"/>
    <mergeCell ref="A115:I115"/>
    <mergeCell ref="A116:I116"/>
    <mergeCell ref="B117:G117"/>
    <mergeCell ref="B118:G118"/>
    <mergeCell ref="B119:G119"/>
    <mergeCell ref="B120:D120"/>
    <mergeCell ref="E120:F120"/>
    <mergeCell ref="B121:G121"/>
    <mergeCell ref="B122:G122"/>
    <mergeCell ref="B123:G123"/>
    <mergeCell ref="A124:G124"/>
    <mergeCell ref="A125:I125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A135:H13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46"/>
  <sheetViews>
    <sheetView showFormulas="false" showGridLines="true" showRowColHeaders="true" showZeros="true" rightToLeft="false" tabSelected="false" showOutlineSymbols="true" defaultGridColor="true" view="pageBreakPreview" topLeftCell="A100" colorId="64" zoomScale="100" zoomScaleNormal="81" zoomScalePageLayoutView="100" workbookViewId="0">
      <selection pane="topLeft" activeCell="I145" activeCellId="0" sqref="I145"/>
    </sheetView>
  </sheetViews>
  <sheetFormatPr defaultRowHeight="12.8" zeroHeight="false" outlineLevelRow="0" outlineLevelCol="0"/>
  <cols>
    <col collapsed="false" customWidth="false" hidden="false" outlineLevel="0" max="5" min="1" style="20" width="11.52"/>
    <col collapsed="false" customWidth="true" hidden="false" outlineLevel="0" max="6" min="6" style="20" width="11.38"/>
    <col collapsed="false" customWidth="true" hidden="false" outlineLevel="0" max="7" min="7" style="20" width="13.89"/>
    <col collapsed="false" customWidth="false" hidden="false" outlineLevel="0" max="1025" min="8" style="20" width="11.52"/>
  </cols>
  <sheetData>
    <row r="1" customFormat="false" ht="12.8" hidden="false" customHeight="false" outlineLevel="0" collapsed="false">
      <c r="A1" s="22"/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false" outlineLevel="0" collapsed="false">
      <c r="A2" s="23" t="s">
        <v>28</v>
      </c>
      <c r="B2" s="23"/>
      <c r="C2" s="23"/>
      <c r="D2" s="23"/>
      <c r="E2" s="23"/>
      <c r="F2" s="23"/>
      <c r="G2" s="23"/>
      <c r="H2" s="23"/>
      <c r="I2" s="23"/>
    </row>
    <row r="3" customFormat="false" ht="12.8" hidden="false" customHeight="false" outlineLevel="0" collapsed="false">
      <c r="A3" s="87"/>
      <c r="B3" s="87"/>
      <c r="C3" s="87"/>
      <c r="D3" s="87"/>
      <c r="E3" s="87"/>
      <c r="F3" s="87"/>
      <c r="G3" s="87"/>
      <c r="H3" s="87"/>
      <c r="I3" s="87"/>
    </row>
    <row r="4" customFormat="false" ht="15" hidden="false" customHeight="false" outlineLevel="0" collapsed="false">
      <c r="A4" s="26" t="s">
        <v>29</v>
      </c>
      <c r="B4" s="26"/>
      <c r="C4" s="26"/>
      <c r="D4" s="26"/>
      <c r="E4" s="26"/>
      <c r="F4" s="26"/>
      <c r="G4" s="26"/>
      <c r="H4" s="26"/>
      <c r="I4" s="26"/>
    </row>
    <row r="5" customFormat="false" ht="15" hidden="false" customHeight="false" outlineLevel="0" collapsed="false">
      <c r="A5" s="27" t="n">
        <v>1</v>
      </c>
      <c r="B5" s="28" t="s">
        <v>30</v>
      </c>
      <c r="C5" s="28"/>
      <c r="D5" s="28"/>
      <c r="E5" s="28"/>
      <c r="F5" s="28"/>
      <c r="G5" s="28"/>
      <c r="H5" s="29" t="s">
        <v>167</v>
      </c>
      <c r="I5" s="29" t="s">
        <v>31</v>
      </c>
    </row>
    <row r="6" customFormat="false" ht="15" hidden="false" customHeight="false" outlineLevel="0" collapsed="false">
      <c r="A6" s="27" t="n">
        <v>2</v>
      </c>
      <c r="B6" s="28" t="s">
        <v>32</v>
      </c>
      <c r="C6" s="28"/>
      <c r="D6" s="28"/>
      <c r="E6" s="28"/>
      <c r="F6" s="28"/>
      <c r="G6" s="28"/>
      <c r="H6" s="30" t="n">
        <v>1411.65</v>
      </c>
      <c r="I6" s="30"/>
    </row>
    <row r="7" customFormat="false" ht="15" hidden="false" customHeight="false" outlineLevel="0" collapsed="false">
      <c r="A7" s="27" t="n">
        <v>3</v>
      </c>
      <c r="B7" s="28" t="s">
        <v>33</v>
      </c>
      <c r="C7" s="28"/>
      <c r="D7" s="28"/>
      <c r="E7" s="28"/>
      <c r="F7" s="28"/>
      <c r="G7" s="28"/>
      <c r="H7" s="29" t="s">
        <v>34</v>
      </c>
      <c r="I7" s="29"/>
    </row>
    <row r="8" customFormat="false" ht="15" hidden="false" customHeight="false" outlineLevel="0" collapsed="false">
      <c r="A8" s="27" t="n">
        <v>4</v>
      </c>
      <c r="B8" s="28" t="s">
        <v>35</v>
      </c>
      <c r="C8" s="28"/>
      <c r="D8" s="28"/>
      <c r="E8" s="28"/>
      <c r="F8" s="28"/>
      <c r="G8" s="28"/>
      <c r="H8" s="31" t="n">
        <v>43497</v>
      </c>
      <c r="I8" s="31"/>
    </row>
    <row r="9" customFormat="false" ht="12.8" hidden="false" customHeight="false" outlineLevel="0" collapsed="false">
      <c r="A9" s="88"/>
      <c r="B9" s="88"/>
      <c r="C9" s="88"/>
      <c r="D9" s="88"/>
      <c r="E9" s="88"/>
      <c r="F9" s="88"/>
      <c r="G9" s="88"/>
      <c r="H9" s="88"/>
      <c r="I9" s="88"/>
    </row>
    <row r="10" customFormat="false" ht="13.8" hidden="false" customHeight="false" outlineLevel="0" collapsed="false">
      <c r="A10" s="33" t="s">
        <v>36</v>
      </c>
      <c r="B10" s="33"/>
      <c r="C10" s="33"/>
      <c r="D10" s="33"/>
      <c r="E10" s="33"/>
      <c r="F10" s="33"/>
      <c r="G10" s="33"/>
      <c r="H10" s="33"/>
      <c r="I10" s="33"/>
    </row>
    <row r="11" customFormat="false" ht="13.8" hidden="false" customHeight="false" outlineLevel="0" collapsed="false">
      <c r="A11" s="34" t="n">
        <v>1</v>
      </c>
      <c r="B11" s="35" t="s">
        <v>37</v>
      </c>
      <c r="C11" s="35"/>
      <c r="D11" s="35"/>
      <c r="E11" s="35"/>
      <c r="F11" s="35"/>
      <c r="G11" s="35"/>
      <c r="H11" s="36" t="s">
        <v>38</v>
      </c>
      <c r="I11" s="37" t="s">
        <v>39</v>
      </c>
    </row>
    <row r="12" customFormat="false" ht="13.8" hidden="false" customHeight="false" outlineLevel="0" collapsed="false">
      <c r="A12" s="38" t="s">
        <v>8</v>
      </c>
      <c r="B12" s="39" t="s">
        <v>40</v>
      </c>
      <c r="C12" s="39"/>
      <c r="D12" s="39"/>
      <c r="E12" s="39"/>
      <c r="F12" s="39"/>
      <c r="G12" s="39"/>
      <c r="H12" s="40"/>
      <c r="I12" s="41" t="n">
        <f aca="false">H6</f>
        <v>1411.65</v>
      </c>
    </row>
    <row r="13" customFormat="false" ht="13.8" hidden="false" customHeight="false" outlineLevel="0" collapsed="false">
      <c r="A13" s="38" t="s">
        <v>10</v>
      </c>
      <c r="B13" s="39" t="s">
        <v>168</v>
      </c>
      <c r="C13" s="39"/>
      <c r="D13" s="39"/>
      <c r="E13" s="39"/>
      <c r="F13" s="39"/>
      <c r="G13" s="39"/>
      <c r="H13" s="40"/>
      <c r="I13" s="41" t="n">
        <v>25.85</v>
      </c>
    </row>
    <row r="14" customFormat="false" ht="13.8" hidden="false" customHeight="false" outlineLevel="0" collapsed="false">
      <c r="A14" s="34" t="s">
        <v>41</v>
      </c>
      <c r="B14" s="34"/>
      <c r="C14" s="34"/>
      <c r="D14" s="34"/>
      <c r="E14" s="34"/>
      <c r="F14" s="34"/>
      <c r="G14" s="34"/>
      <c r="H14" s="34"/>
      <c r="I14" s="43" t="n">
        <f aca="false">(SUM(I12:I13))</f>
        <v>1437.5</v>
      </c>
    </row>
    <row r="15" customFormat="false" ht="13.8" hidden="false" customHeight="false" outlineLevel="0" collapsed="false">
      <c r="A15" s="38" t="s">
        <v>13</v>
      </c>
      <c r="B15" s="39" t="s">
        <v>169</v>
      </c>
      <c r="C15" s="39"/>
      <c r="D15" s="39"/>
      <c r="E15" s="39"/>
      <c r="F15" s="39"/>
      <c r="G15" s="39"/>
      <c r="H15" s="89" t="n">
        <v>15</v>
      </c>
      <c r="I15" s="41" t="n">
        <f aca="false">I14/220*1.5*H15</f>
        <v>147.017045454545</v>
      </c>
    </row>
    <row r="16" customFormat="false" ht="13.8" hidden="false" customHeight="false" outlineLevel="0" collapsed="false">
      <c r="A16" s="34" t="s">
        <v>170</v>
      </c>
      <c r="B16" s="34"/>
      <c r="C16" s="34"/>
      <c r="D16" s="34"/>
      <c r="E16" s="34"/>
      <c r="F16" s="34"/>
      <c r="G16" s="34"/>
      <c r="H16" s="34"/>
      <c r="I16" s="43" t="n">
        <f aca="false">I15+I14</f>
        <v>1584.51704545455</v>
      </c>
      <c r="K16" s="42"/>
    </row>
    <row r="17" customFormat="false" ht="12.8" hidden="false" customHeight="false" outlineLevel="0" collapsed="false">
      <c r="A17" s="90" t="s">
        <v>171</v>
      </c>
      <c r="B17" s="90"/>
      <c r="C17" s="90"/>
      <c r="D17" s="90"/>
      <c r="E17" s="90"/>
      <c r="F17" s="90"/>
      <c r="G17" s="90"/>
      <c r="H17" s="90"/>
      <c r="I17" s="90"/>
      <c r="K17" s="42"/>
    </row>
    <row r="18" customFormat="false" ht="13.8" hidden="false" customHeight="false" outlineLevel="0" collapsed="false">
      <c r="A18" s="91"/>
      <c r="B18" s="91"/>
      <c r="C18" s="91"/>
      <c r="D18" s="91"/>
      <c r="E18" s="91"/>
      <c r="F18" s="91"/>
      <c r="G18" s="91"/>
      <c r="H18" s="91"/>
      <c r="I18" s="91"/>
      <c r="K18" s="42"/>
    </row>
    <row r="19" customFormat="false" ht="13.8" hidden="false" customHeight="false" outlineLevel="0" collapsed="false">
      <c r="A19" s="45" t="s">
        <v>42</v>
      </c>
      <c r="B19" s="45"/>
      <c r="C19" s="45"/>
      <c r="D19" s="45"/>
      <c r="E19" s="45"/>
      <c r="F19" s="45"/>
      <c r="G19" s="45"/>
      <c r="H19" s="45"/>
      <c r="I19" s="45"/>
      <c r="K19" s="42"/>
    </row>
    <row r="20" customFormat="false" ht="13.8" hidden="false" customHeight="false" outlineLevel="0" collapsed="false">
      <c r="A20" s="35" t="s">
        <v>43</v>
      </c>
      <c r="B20" s="35"/>
      <c r="C20" s="35"/>
      <c r="D20" s="35"/>
      <c r="E20" s="35"/>
      <c r="F20" s="35"/>
      <c r="G20" s="35"/>
      <c r="H20" s="35" t="s">
        <v>38</v>
      </c>
      <c r="I20" s="35" t="s">
        <v>39</v>
      </c>
    </row>
    <row r="21" customFormat="false" ht="13.8" hidden="false" customHeight="false" outlineLevel="0" collapsed="false">
      <c r="A21" s="35" t="s">
        <v>8</v>
      </c>
      <c r="B21" s="46" t="s">
        <v>44</v>
      </c>
      <c r="C21" s="46"/>
      <c r="D21" s="46"/>
      <c r="E21" s="46"/>
      <c r="F21" s="46"/>
      <c r="G21" s="46"/>
      <c r="H21" s="47" t="n">
        <f aca="false">1/12</f>
        <v>0.0833333333333333</v>
      </c>
      <c r="I21" s="48" t="n">
        <f aca="false">$I$14*H21</f>
        <v>119.791666666667</v>
      </c>
    </row>
    <row r="22" customFormat="false" ht="13.8" hidden="false" customHeight="false" outlineLevel="0" collapsed="false">
      <c r="A22" s="35" t="s">
        <v>10</v>
      </c>
      <c r="B22" s="46" t="s">
        <v>45</v>
      </c>
      <c r="C22" s="46"/>
      <c r="D22" s="46"/>
      <c r="E22" s="46"/>
      <c r="F22" s="46"/>
      <c r="G22" s="46"/>
      <c r="H22" s="49" t="n">
        <v>0.121</v>
      </c>
      <c r="I22" s="48" t="n">
        <f aca="false">$I$14*H22</f>
        <v>173.9375</v>
      </c>
    </row>
    <row r="23" customFormat="false" ht="13.8" hidden="true" customHeight="false" outlineLevel="0" collapsed="false">
      <c r="A23" s="35" t="s">
        <v>13</v>
      </c>
      <c r="B23" s="52" t="s">
        <v>164</v>
      </c>
      <c r="C23" s="52"/>
      <c r="D23" s="52"/>
      <c r="E23" s="52"/>
      <c r="F23" s="52"/>
      <c r="G23" s="52"/>
      <c r="H23" s="49"/>
      <c r="I23" s="48" t="n">
        <f aca="false">$I$14*H23</f>
        <v>0</v>
      </c>
    </row>
    <row r="24" customFormat="false" ht="13.8" hidden="false" customHeight="false" outlineLevel="0" collapsed="false">
      <c r="A24" s="35" t="s">
        <v>46</v>
      </c>
      <c r="B24" s="35"/>
      <c r="C24" s="35"/>
      <c r="D24" s="35"/>
      <c r="E24" s="35"/>
      <c r="F24" s="35"/>
      <c r="G24" s="35"/>
      <c r="H24" s="53" t="n">
        <f aca="false">TRUNC(SUM(H21:H22),4)</f>
        <v>0.2043</v>
      </c>
      <c r="I24" s="54" t="n">
        <f aca="false">(SUM(I21:I23))</f>
        <v>293.729166666667</v>
      </c>
    </row>
    <row r="25" customFormat="false" ht="13.8" hidden="false" customHeight="false" outlineLevel="0" collapsed="false">
      <c r="A25" s="92"/>
      <c r="B25" s="92"/>
      <c r="C25" s="92"/>
      <c r="D25" s="92"/>
      <c r="E25" s="92"/>
      <c r="F25" s="92"/>
      <c r="G25" s="92"/>
      <c r="H25" s="92"/>
      <c r="I25" s="92"/>
    </row>
    <row r="26" customFormat="false" ht="13.8" hidden="false" customHeight="false" outlineLevel="0" collapsed="false">
      <c r="A26" s="55" t="s">
        <v>47</v>
      </c>
      <c r="B26" s="55"/>
      <c r="C26" s="55"/>
      <c r="D26" s="55"/>
      <c r="E26" s="55"/>
      <c r="F26" s="55"/>
      <c r="G26" s="55"/>
      <c r="H26" s="55" t="s">
        <v>38</v>
      </c>
      <c r="I26" s="55" t="s">
        <v>39</v>
      </c>
    </row>
    <row r="27" customFormat="false" ht="13.8" hidden="false" customHeight="false" outlineLevel="0" collapsed="false">
      <c r="A27" s="35" t="s">
        <v>8</v>
      </c>
      <c r="B27" s="46" t="s">
        <v>48</v>
      </c>
      <c r="C27" s="46"/>
      <c r="D27" s="46"/>
      <c r="E27" s="46"/>
      <c r="F27" s="46"/>
      <c r="G27" s="46"/>
      <c r="H27" s="47" t="n">
        <v>0.2</v>
      </c>
      <c r="I27" s="48" t="n">
        <f aca="false">($I$14+$I$24)*H27</f>
        <v>346.245833333333</v>
      </c>
    </row>
    <row r="28" customFormat="false" ht="13.8" hidden="false" customHeight="false" outlineLevel="0" collapsed="false">
      <c r="A28" s="35" t="s">
        <v>10</v>
      </c>
      <c r="B28" s="46" t="s">
        <v>49</v>
      </c>
      <c r="C28" s="46"/>
      <c r="D28" s="46"/>
      <c r="E28" s="46"/>
      <c r="F28" s="46"/>
      <c r="G28" s="46"/>
      <c r="H28" s="47" t="n">
        <v>0.025</v>
      </c>
      <c r="I28" s="48" t="n">
        <f aca="false">($I$14+$I$24)*H28</f>
        <v>43.2807291666667</v>
      </c>
    </row>
    <row r="29" customFormat="false" ht="13.8" hidden="false" customHeight="false" outlineLevel="0" collapsed="false">
      <c r="A29" s="32" t="s">
        <v>13</v>
      </c>
      <c r="B29" s="46" t="s">
        <v>50</v>
      </c>
      <c r="C29" s="46"/>
      <c r="D29" s="46"/>
      <c r="E29" s="46"/>
      <c r="F29" s="46"/>
      <c r="G29" s="46"/>
      <c r="H29" s="56" t="n">
        <f aca="false">G30</f>
        <v>0.03</v>
      </c>
      <c r="I29" s="57" t="n">
        <f aca="false">($I$14+$I$24)*H29</f>
        <v>51.936875</v>
      </c>
    </row>
    <row r="30" customFormat="false" ht="13.8" hidden="false" customHeight="false" outlineLevel="0" collapsed="false">
      <c r="A30" s="32"/>
      <c r="B30" s="46" t="s">
        <v>51</v>
      </c>
      <c r="C30" s="59" t="n">
        <v>0.03</v>
      </c>
      <c r="D30" s="46" t="s">
        <v>52</v>
      </c>
      <c r="E30" s="60" t="n">
        <v>1</v>
      </c>
      <c r="F30" s="61" t="s">
        <v>53</v>
      </c>
      <c r="G30" s="47" t="n">
        <f aca="false">E30*C30</f>
        <v>0.03</v>
      </c>
      <c r="H30" s="56"/>
      <c r="I30" s="57"/>
    </row>
    <row r="31" customFormat="false" ht="13.8" hidden="false" customHeight="false" outlineLevel="0" collapsed="false">
      <c r="A31" s="35" t="s">
        <v>16</v>
      </c>
      <c r="B31" s="46" t="s">
        <v>54</v>
      </c>
      <c r="C31" s="46"/>
      <c r="D31" s="46"/>
      <c r="E31" s="46"/>
      <c r="F31" s="46"/>
      <c r="G31" s="46"/>
      <c r="H31" s="47" t="n">
        <v>0.015</v>
      </c>
      <c r="I31" s="48" t="n">
        <f aca="false">($I$14+$I$24)*H31</f>
        <v>25.9684375</v>
      </c>
    </row>
    <row r="32" customFormat="false" ht="13.8" hidden="false" customHeight="false" outlineLevel="0" collapsed="false">
      <c r="A32" s="35" t="s">
        <v>55</v>
      </c>
      <c r="B32" s="46" t="s">
        <v>56</v>
      </c>
      <c r="C32" s="46"/>
      <c r="D32" s="46"/>
      <c r="E32" s="46"/>
      <c r="F32" s="46"/>
      <c r="G32" s="46"/>
      <c r="H32" s="47" t="n">
        <v>0.01</v>
      </c>
      <c r="I32" s="48" t="n">
        <f aca="false">($I$14+$I$24)*H32</f>
        <v>17.3122916666667</v>
      </c>
    </row>
    <row r="33" customFormat="false" ht="13.8" hidden="false" customHeight="false" outlineLevel="0" collapsed="false">
      <c r="A33" s="35" t="s">
        <v>57</v>
      </c>
      <c r="B33" s="46" t="s">
        <v>58</v>
      </c>
      <c r="C33" s="46"/>
      <c r="D33" s="46"/>
      <c r="E33" s="46"/>
      <c r="F33" s="46"/>
      <c r="G33" s="46"/>
      <c r="H33" s="47" t="n">
        <v>0.006</v>
      </c>
      <c r="I33" s="48" t="n">
        <f aca="false">($I$14+$I$24)*H33</f>
        <v>10.387375</v>
      </c>
    </row>
    <row r="34" customFormat="false" ht="13.8" hidden="false" customHeight="false" outlineLevel="0" collapsed="false">
      <c r="A34" s="35" t="s">
        <v>59</v>
      </c>
      <c r="B34" s="46" t="s">
        <v>60</v>
      </c>
      <c r="C34" s="46"/>
      <c r="D34" s="46"/>
      <c r="E34" s="46"/>
      <c r="F34" s="46"/>
      <c r="G34" s="46"/>
      <c r="H34" s="47" t="n">
        <v>0.002</v>
      </c>
      <c r="I34" s="48" t="n">
        <f aca="false">($I$14+$I$24)*H34</f>
        <v>3.46245833333333</v>
      </c>
    </row>
    <row r="35" customFormat="false" ht="13.8" hidden="false" customHeight="false" outlineLevel="0" collapsed="false">
      <c r="A35" s="35" t="s">
        <v>61</v>
      </c>
      <c r="B35" s="46" t="s">
        <v>62</v>
      </c>
      <c r="C35" s="46"/>
      <c r="D35" s="46"/>
      <c r="E35" s="46"/>
      <c r="F35" s="46"/>
      <c r="G35" s="46"/>
      <c r="H35" s="47" t="n">
        <v>0.08</v>
      </c>
      <c r="I35" s="48" t="n">
        <f aca="false">($I$14+$I$24)*H35</f>
        <v>138.498333333333</v>
      </c>
    </row>
    <row r="36" customFormat="false" ht="13.8" hidden="false" customHeight="false" outlineLevel="0" collapsed="false">
      <c r="A36" s="35" t="s">
        <v>63</v>
      </c>
      <c r="B36" s="35"/>
      <c r="C36" s="35"/>
      <c r="D36" s="35"/>
      <c r="E36" s="35"/>
      <c r="F36" s="35"/>
      <c r="G36" s="35"/>
      <c r="H36" s="53" t="n">
        <f aca="false">SUM(H27:H35)</f>
        <v>0.368</v>
      </c>
      <c r="I36" s="54" t="n">
        <f aca="false">(SUM(I27:I35))</f>
        <v>637.092333333333</v>
      </c>
    </row>
    <row r="37" customFormat="false" ht="13.8" hidden="false" customHeight="false" outlineLevel="0" collapsed="false">
      <c r="A37" s="93"/>
      <c r="B37" s="93"/>
      <c r="C37" s="93"/>
      <c r="D37" s="93"/>
      <c r="E37" s="93"/>
      <c r="F37" s="93"/>
      <c r="G37" s="93"/>
      <c r="H37" s="93"/>
      <c r="I37" s="93"/>
    </row>
    <row r="38" customFormat="false" ht="13.8" hidden="false" customHeight="false" outlineLevel="0" collapsed="false">
      <c r="A38" s="55" t="s">
        <v>64</v>
      </c>
      <c r="B38" s="55"/>
      <c r="C38" s="55"/>
      <c r="D38" s="55"/>
      <c r="E38" s="55"/>
      <c r="F38" s="55"/>
      <c r="G38" s="55"/>
      <c r="H38" s="63"/>
      <c r="I38" s="55" t="s">
        <v>39</v>
      </c>
    </row>
    <row r="39" customFormat="false" ht="13.8" hidden="false" customHeight="false" outlineLevel="0" collapsed="false">
      <c r="A39" s="32" t="s">
        <v>8</v>
      </c>
      <c r="B39" s="64" t="s">
        <v>65</v>
      </c>
      <c r="C39" s="64"/>
      <c r="D39" s="64"/>
      <c r="E39" s="64"/>
      <c r="F39" s="64" t="s">
        <v>66</v>
      </c>
      <c r="G39" s="64"/>
      <c r="H39" s="61" t="n">
        <v>2</v>
      </c>
      <c r="I39" s="57" t="n">
        <f aca="false">IF(ROUND((H40*15*2)-(I12*0.5*0.06),2)&lt;0,0,ROUND((H40*15*2)-(I12*0.5*0.06),2))</f>
        <v>70.15</v>
      </c>
    </row>
    <row r="40" customFormat="false" ht="13.8" hidden="false" customHeight="false" outlineLevel="0" collapsed="false">
      <c r="A40" s="32"/>
      <c r="B40" s="64"/>
      <c r="C40" s="64"/>
      <c r="D40" s="64"/>
      <c r="E40" s="64"/>
      <c r="F40" s="64" t="s">
        <v>67</v>
      </c>
      <c r="G40" s="64"/>
      <c r="H40" s="65" t="n">
        <v>3.75</v>
      </c>
      <c r="I40" s="57"/>
    </row>
    <row r="41" customFormat="false" ht="13.8" hidden="false" customHeight="false" outlineLevel="0" collapsed="false">
      <c r="A41" s="35" t="s">
        <v>10</v>
      </c>
      <c r="B41" s="66" t="s">
        <v>68</v>
      </c>
      <c r="C41" s="66"/>
      <c r="D41" s="66"/>
      <c r="E41" s="66"/>
      <c r="F41" s="66"/>
      <c r="G41" s="66"/>
      <c r="H41" s="65" t="n">
        <v>400</v>
      </c>
      <c r="I41" s="41" t="n">
        <f aca="false">(H41)-(H41*0.2)+(((H41)-(H41*0.2))/12)</f>
        <v>346.666666666667</v>
      </c>
    </row>
    <row r="42" customFormat="false" ht="13.8" hidden="false" customHeight="false" outlineLevel="0" collapsed="false">
      <c r="A42" s="35" t="s">
        <v>13</v>
      </c>
      <c r="B42" s="66" t="s">
        <v>69</v>
      </c>
      <c r="C42" s="66"/>
      <c r="D42" s="66"/>
      <c r="E42" s="66"/>
      <c r="F42" s="66"/>
      <c r="G42" s="66"/>
      <c r="H42" s="61" t="s">
        <v>70</v>
      </c>
      <c r="I42" s="41" t="n">
        <v>60</v>
      </c>
    </row>
    <row r="43" customFormat="false" ht="13.8" hidden="false" customHeight="false" outlineLevel="0" collapsed="false">
      <c r="A43" s="35" t="s">
        <v>16</v>
      </c>
      <c r="B43" s="66" t="s">
        <v>71</v>
      </c>
      <c r="C43" s="66"/>
      <c r="D43" s="66"/>
      <c r="E43" s="66"/>
      <c r="F43" s="66"/>
      <c r="G43" s="66"/>
      <c r="H43" s="61" t="s">
        <v>70</v>
      </c>
      <c r="I43" s="41" t="n">
        <v>0</v>
      </c>
    </row>
    <row r="44" customFormat="false" ht="13.8" hidden="false" customHeight="false" outlineLevel="0" collapsed="false">
      <c r="A44" s="35" t="s">
        <v>55</v>
      </c>
      <c r="B44" s="66" t="s">
        <v>72</v>
      </c>
      <c r="C44" s="66"/>
      <c r="D44" s="66"/>
      <c r="E44" s="66"/>
      <c r="F44" s="66"/>
      <c r="G44" s="66"/>
      <c r="H44" s="61" t="s">
        <v>70</v>
      </c>
      <c r="I44" s="41" t="n">
        <v>20</v>
      </c>
    </row>
    <row r="45" customFormat="false" ht="13.8" hidden="false" customHeight="false" outlineLevel="0" collapsed="false">
      <c r="A45" s="35" t="s">
        <v>57</v>
      </c>
      <c r="B45" s="66" t="s">
        <v>73</v>
      </c>
      <c r="C45" s="66"/>
      <c r="D45" s="66"/>
      <c r="E45" s="66"/>
      <c r="F45" s="66"/>
      <c r="G45" s="66"/>
      <c r="H45" s="61" t="s">
        <v>70</v>
      </c>
      <c r="I45" s="41" t="n">
        <v>20</v>
      </c>
    </row>
    <row r="46" customFormat="false" ht="13.8" hidden="false" customHeight="false" outlineLevel="0" collapsed="false">
      <c r="A46" s="35" t="s">
        <v>74</v>
      </c>
      <c r="B46" s="35"/>
      <c r="C46" s="35"/>
      <c r="D46" s="35"/>
      <c r="E46" s="35"/>
      <c r="F46" s="35"/>
      <c r="G46" s="35"/>
      <c r="H46" s="35"/>
      <c r="I46" s="54" t="n">
        <f aca="false">(SUM(I39:I45))</f>
        <v>516.816666666667</v>
      </c>
    </row>
    <row r="47" customFormat="false" ht="13.8" hidden="false" customHeight="false" outlineLevel="0" collapsed="false">
      <c r="A47" s="94"/>
      <c r="B47" s="94"/>
      <c r="C47" s="94"/>
      <c r="D47" s="94"/>
      <c r="E47" s="94"/>
      <c r="F47" s="94"/>
      <c r="G47" s="94"/>
      <c r="H47" s="94"/>
      <c r="I47" s="94"/>
    </row>
    <row r="48" customFormat="false" ht="13.8" hidden="false" customHeight="false" outlineLevel="0" collapsed="false">
      <c r="A48" s="67" t="s">
        <v>75</v>
      </c>
      <c r="B48" s="67"/>
      <c r="C48" s="67"/>
      <c r="D48" s="67"/>
      <c r="E48" s="67"/>
      <c r="F48" s="67"/>
      <c r="G48" s="67"/>
      <c r="H48" s="67"/>
      <c r="I48" s="67"/>
    </row>
    <row r="49" customFormat="false" ht="13.8" hidden="false" customHeight="false" outlineLevel="0" collapsed="false">
      <c r="A49" s="35" t="s">
        <v>76</v>
      </c>
      <c r="B49" s="35"/>
      <c r="C49" s="35"/>
      <c r="D49" s="35"/>
      <c r="E49" s="35"/>
      <c r="F49" s="35"/>
      <c r="G49" s="35"/>
      <c r="H49" s="35"/>
      <c r="I49" s="35" t="s">
        <v>39</v>
      </c>
    </row>
    <row r="50" customFormat="false" ht="13.8" hidden="false" customHeight="false" outlineLevel="0" collapsed="false">
      <c r="A50" s="35" t="s">
        <v>77</v>
      </c>
      <c r="B50" s="46" t="s">
        <v>78</v>
      </c>
      <c r="C50" s="46"/>
      <c r="D50" s="46"/>
      <c r="E50" s="46"/>
      <c r="F50" s="46"/>
      <c r="G50" s="46"/>
      <c r="H50" s="46"/>
      <c r="I50" s="48" t="n">
        <f aca="false">I24</f>
        <v>293.729166666667</v>
      </c>
    </row>
    <row r="51" customFormat="false" ht="13.8" hidden="false" customHeight="false" outlineLevel="0" collapsed="false">
      <c r="A51" s="35" t="s">
        <v>79</v>
      </c>
      <c r="B51" s="46" t="s">
        <v>80</v>
      </c>
      <c r="C51" s="46"/>
      <c r="D51" s="46"/>
      <c r="E51" s="46"/>
      <c r="F51" s="46"/>
      <c r="G51" s="46"/>
      <c r="H51" s="46"/>
      <c r="I51" s="48" t="n">
        <f aca="false">I36</f>
        <v>637.092333333333</v>
      </c>
    </row>
    <row r="52" customFormat="false" ht="13.8" hidden="false" customHeight="false" outlineLevel="0" collapsed="false">
      <c r="A52" s="35" t="s">
        <v>81</v>
      </c>
      <c r="B52" s="46" t="s">
        <v>82</v>
      </c>
      <c r="C52" s="46"/>
      <c r="D52" s="46"/>
      <c r="E52" s="46"/>
      <c r="F52" s="46"/>
      <c r="G52" s="46"/>
      <c r="H52" s="46"/>
      <c r="I52" s="48" t="n">
        <f aca="false">I46</f>
        <v>516.816666666667</v>
      </c>
    </row>
    <row r="53" customFormat="false" ht="13.8" hidden="false" customHeight="false" outlineLevel="0" collapsed="false">
      <c r="A53" s="35" t="s">
        <v>83</v>
      </c>
      <c r="B53" s="35"/>
      <c r="C53" s="35"/>
      <c r="D53" s="35"/>
      <c r="E53" s="35"/>
      <c r="F53" s="35"/>
      <c r="G53" s="35"/>
      <c r="H53" s="35"/>
      <c r="I53" s="54" t="n">
        <f aca="false">(SUM(I50:I52))</f>
        <v>1447.63816666667</v>
      </c>
    </row>
    <row r="54" customFormat="false" ht="13.8" hidden="false" customHeight="false" outlineLevel="0" collapsed="false">
      <c r="A54" s="68"/>
      <c r="B54" s="68"/>
      <c r="C54" s="68"/>
      <c r="D54" s="68"/>
      <c r="E54" s="68"/>
      <c r="F54" s="68"/>
      <c r="G54" s="68"/>
      <c r="H54" s="68"/>
      <c r="I54" s="68"/>
    </row>
    <row r="55" customFormat="false" ht="13.8" hidden="false" customHeight="false" outlineLevel="0" collapsed="false">
      <c r="A55" s="45" t="s">
        <v>84</v>
      </c>
      <c r="B55" s="45"/>
      <c r="C55" s="45"/>
      <c r="D55" s="45"/>
      <c r="E55" s="45"/>
      <c r="F55" s="45"/>
      <c r="G55" s="45"/>
      <c r="H55" s="45"/>
      <c r="I55" s="45"/>
    </row>
    <row r="56" customFormat="false" ht="13.8" hidden="false" customHeight="false" outlineLevel="0" collapsed="false">
      <c r="A56" s="32" t="s">
        <v>85</v>
      </c>
      <c r="B56" s="32" t="s">
        <v>86</v>
      </c>
      <c r="C56" s="32"/>
      <c r="D56" s="32"/>
      <c r="E56" s="32"/>
      <c r="F56" s="32"/>
      <c r="G56" s="32"/>
      <c r="H56" s="35" t="s">
        <v>38</v>
      </c>
      <c r="I56" s="35" t="s">
        <v>39</v>
      </c>
    </row>
    <row r="57" customFormat="false" ht="13.8" hidden="false" customHeight="false" outlineLevel="0" collapsed="false">
      <c r="A57" s="35" t="s">
        <v>8</v>
      </c>
      <c r="B57" s="46" t="s">
        <v>87</v>
      </c>
      <c r="C57" s="46"/>
      <c r="D57" s="46"/>
      <c r="E57" s="46"/>
      <c r="F57" s="46"/>
      <c r="G57" s="46"/>
      <c r="H57" s="47"/>
      <c r="I57" s="48" t="n">
        <f aca="false">((I14+I53)-(I27+I28+I29+I31+I32+I33+I34))/12</f>
        <v>198.878680555556</v>
      </c>
    </row>
    <row r="58" customFormat="false" ht="13.8" hidden="false" customHeight="false" outlineLevel="0" collapsed="false">
      <c r="A58" s="35" t="s">
        <v>10</v>
      </c>
      <c r="B58" s="46" t="s">
        <v>88</v>
      </c>
      <c r="C58" s="46"/>
      <c r="D58" s="46"/>
      <c r="E58" s="46"/>
      <c r="F58" s="46"/>
      <c r="G58" s="46"/>
      <c r="H58" s="47"/>
      <c r="I58" s="48" t="n">
        <f aca="false">I35*50%</f>
        <v>69.2491666666667</v>
      </c>
    </row>
    <row r="59" customFormat="false" ht="13.8" hidden="false" customHeight="false" outlineLevel="0" collapsed="false">
      <c r="A59" s="35" t="s">
        <v>13</v>
      </c>
      <c r="B59" s="46" t="s">
        <v>89</v>
      </c>
      <c r="C59" s="46"/>
      <c r="D59" s="46"/>
      <c r="E59" s="46"/>
      <c r="F59" s="46"/>
      <c r="G59" s="46"/>
      <c r="H59" s="47" t="n">
        <v>0.7209</v>
      </c>
      <c r="I59" s="48" t="n">
        <f aca="false">(I58+I57)*H59</f>
        <v>193.2933650625</v>
      </c>
    </row>
    <row r="60" customFormat="false" ht="13.8" hidden="false" customHeight="false" outlineLevel="0" collapsed="false">
      <c r="A60" s="32" t="s">
        <v>90</v>
      </c>
      <c r="B60" s="32"/>
      <c r="C60" s="32"/>
      <c r="D60" s="32"/>
      <c r="E60" s="32"/>
      <c r="F60" s="32"/>
      <c r="G60" s="32"/>
      <c r="H60" s="47"/>
      <c r="I60" s="54" t="n">
        <f aca="false">I59</f>
        <v>193.2933650625</v>
      </c>
    </row>
    <row r="61" customFormat="false" ht="13.8" hidden="false" customHeight="false" outlineLevel="0" collapsed="false">
      <c r="A61" s="32"/>
      <c r="B61" s="32"/>
      <c r="C61" s="32"/>
      <c r="D61" s="32"/>
      <c r="E61" s="32"/>
      <c r="F61" s="32"/>
      <c r="G61" s="32"/>
      <c r="H61" s="32"/>
      <c r="I61" s="32"/>
    </row>
    <row r="62" customFormat="false" ht="13.8" hidden="false" customHeight="false" outlineLevel="0" collapsed="false">
      <c r="A62" s="32" t="s">
        <v>91</v>
      </c>
      <c r="B62" s="32" t="s">
        <v>86</v>
      </c>
      <c r="C62" s="32"/>
      <c r="D62" s="32"/>
      <c r="E62" s="32"/>
      <c r="F62" s="32"/>
      <c r="G62" s="32"/>
      <c r="H62" s="35" t="s">
        <v>38</v>
      </c>
      <c r="I62" s="35" t="s">
        <v>39</v>
      </c>
    </row>
    <row r="63" customFormat="false" ht="13.8" hidden="false" customHeight="false" outlineLevel="0" collapsed="false">
      <c r="A63" s="35" t="s">
        <v>8</v>
      </c>
      <c r="B63" s="46" t="s">
        <v>92</v>
      </c>
      <c r="C63" s="46"/>
      <c r="D63" s="46"/>
      <c r="E63" s="46"/>
      <c r="F63" s="46"/>
      <c r="G63" s="46"/>
      <c r="H63" s="47"/>
      <c r="I63" s="48" t="n">
        <f aca="false">(I14+I53)/12</f>
        <v>240.428180555556</v>
      </c>
    </row>
    <row r="64" customFormat="false" ht="13.8" hidden="false" customHeight="false" outlineLevel="0" collapsed="false">
      <c r="A64" s="35" t="s">
        <v>10</v>
      </c>
      <c r="B64" s="46" t="s">
        <v>93</v>
      </c>
      <c r="C64" s="46"/>
      <c r="D64" s="46"/>
      <c r="E64" s="46"/>
      <c r="F64" s="46"/>
      <c r="G64" s="46"/>
      <c r="H64" s="47"/>
      <c r="I64" s="48" t="n">
        <f aca="false">I35*50%</f>
        <v>69.2491666666667</v>
      </c>
    </row>
    <row r="65" customFormat="false" ht="13.8" hidden="false" customHeight="false" outlineLevel="0" collapsed="false">
      <c r="A65" s="35" t="s">
        <v>13</v>
      </c>
      <c r="B65" s="46" t="s">
        <v>94</v>
      </c>
      <c r="C65" s="46"/>
      <c r="D65" s="46"/>
      <c r="E65" s="46"/>
      <c r="F65" s="46"/>
      <c r="G65" s="46"/>
      <c r="H65" s="47" t="n">
        <v>0.0801</v>
      </c>
      <c r="I65" s="48" t="n">
        <f aca="false">(I64+I63)*H65</f>
        <v>24.8051555125</v>
      </c>
    </row>
    <row r="66" customFormat="false" ht="13.8" hidden="false" customHeight="false" outlineLevel="0" collapsed="false">
      <c r="A66" s="32" t="s">
        <v>95</v>
      </c>
      <c r="B66" s="32"/>
      <c r="C66" s="32"/>
      <c r="D66" s="32"/>
      <c r="E66" s="32"/>
      <c r="F66" s="32"/>
      <c r="G66" s="32"/>
      <c r="H66" s="47"/>
      <c r="I66" s="54" t="n">
        <f aca="false">I65</f>
        <v>24.8051555125</v>
      </c>
    </row>
    <row r="67" customFormat="false" ht="13.8" hidden="false" customHeight="false" outlineLevel="0" collapsed="false">
      <c r="A67" s="32"/>
      <c r="B67" s="32"/>
      <c r="C67" s="32"/>
      <c r="D67" s="32"/>
      <c r="E67" s="32"/>
      <c r="F67" s="32"/>
      <c r="G67" s="32"/>
      <c r="H67" s="32"/>
      <c r="I67" s="32"/>
    </row>
    <row r="68" customFormat="false" ht="13.8" hidden="false" customHeight="false" outlineLevel="0" collapsed="false">
      <c r="A68" s="32" t="s">
        <v>96</v>
      </c>
      <c r="B68" s="32" t="s">
        <v>86</v>
      </c>
      <c r="C68" s="32"/>
      <c r="D68" s="32"/>
      <c r="E68" s="32"/>
      <c r="F68" s="32"/>
      <c r="G68" s="32"/>
      <c r="H68" s="35" t="s">
        <v>38</v>
      </c>
      <c r="I68" s="35" t="s">
        <v>39</v>
      </c>
    </row>
    <row r="69" customFormat="false" ht="13.8" hidden="false" customHeight="false" outlineLevel="0" collapsed="false">
      <c r="A69" s="35" t="s">
        <v>8</v>
      </c>
      <c r="B69" s="46" t="s">
        <v>97</v>
      </c>
      <c r="C69" s="46"/>
      <c r="D69" s="46"/>
      <c r="E69" s="46"/>
      <c r="F69" s="46"/>
      <c r="G69" s="46"/>
      <c r="H69" s="47"/>
      <c r="I69" s="48" t="n">
        <f aca="false">-(I21+I22+I23)</f>
        <v>-293.729166666667</v>
      </c>
    </row>
    <row r="70" customFormat="false" ht="13.8" hidden="false" customHeight="false" outlineLevel="0" collapsed="false">
      <c r="A70" s="35" t="s">
        <v>10</v>
      </c>
      <c r="B70" s="46" t="s">
        <v>98</v>
      </c>
      <c r="C70" s="46"/>
      <c r="D70" s="46"/>
      <c r="E70" s="46"/>
      <c r="F70" s="46"/>
      <c r="G70" s="46"/>
      <c r="H70" s="47" t="n">
        <v>0.0328</v>
      </c>
      <c r="I70" s="48" t="n">
        <f aca="false">I69*H70</f>
        <v>-9.63431666666668</v>
      </c>
    </row>
    <row r="71" customFormat="false" ht="13.8" hidden="false" customHeight="false" outlineLevel="0" collapsed="false">
      <c r="A71" s="32" t="s">
        <v>99</v>
      </c>
      <c r="B71" s="32"/>
      <c r="C71" s="32"/>
      <c r="D71" s="32"/>
      <c r="E71" s="32"/>
      <c r="F71" s="32"/>
      <c r="G71" s="32"/>
      <c r="H71" s="47"/>
      <c r="I71" s="48" t="n">
        <f aca="false">I70</f>
        <v>-9.63431666666668</v>
      </c>
    </row>
    <row r="72" customFormat="false" ht="13.8" hidden="false" customHeight="false" outlineLevel="0" collapsed="false">
      <c r="A72" s="32"/>
      <c r="B72" s="32"/>
      <c r="C72" s="32"/>
      <c r="D72" s="32"/>
      <c r="E72" s="32"/>
      <c r="F72" s="32"/>
      <c r="G72" s="32"/>
      <c r="H72" s="32"/>
      <c r="I72" s="32"/>
    </row>
    <row r="73" customFormat="false" ht="13.8" hidden="false" customHeight="false" outlineLevel="0" collapsed="false">
      <c r="A73" s="67" t="s">
        <v>100</v>
      </c>
      <c r="B73" s="67"/>
      <c r="C73" s="67"/>
      <c r="D73" s="67"/>
      <c r="E73" s="67"/>
      <c r="F73" s="67"/>
      <c r="G73" s="67"/>
      <c r="H73" s="67"/>
      <c r="I73" s="67"/>
    </row>
    <row r="74" customFormat="false" ht="13.8" hidden="false" customHeight="false" outlineLevel="0" collapsed="false">
      <c r="A74" s="32" t="s">
        <v>101</v>
      </c>
      <c r="B74" s="32"/>
      <c r="C74" s="32"/>
      <c r="D74" s="32"/>
      <c r="E74" s="32"/>
      <c r="F74" s="32"/>
      <c r="G74" s="32"/>
      <c r="H74" s="32"/>
      <c r="I74" s="37" t="s">
        <v>39</v>
      </c>
    </row>
    <row r="75" customFormat="false" ht="13.8" hidden="false" customHeight="false" outlineLevel="0" collapsed="false">
      <c r="A75" s="35" t="s">
        <v>102</v>
      </c>
      <c r="B75" s="52" t="s">
        <v>89</v>
      </c>
      <c r="C75" s="52"/>
      <c r="D75" s="52"/>
      <c r="E75" s="52"/>
      <c r="F75" s="52"/>
      <c r="G75" s="52"/>
      <c r="H75" s="52"/>
      <c r="I75" s="54" t="n">
        <f aca="false">I60</f>
        <v>193.2933650625</v>
      </c>
    </row>
    <row r="76" customFormat="false" ht="13.8" hidden="false" customHeight="false" outlineLevel="0" collapsed="false">
      <c r="A76" s="35" t="s">
        <v>103</v>
      </c>
      <c r="B76" s="52" t="s">
        <v>94</v>
      </c>
      <c r="C76" s="52"/>
      <c r="D76" s="52"/>
      <c r="E76" s="52"/>
      <c r="F76" s="52"/>
      <c r="G76" s="52"/>
      <c r="H76" s="52"/>
      <c r="I76" s="54" t="n">
        <f aca="false">I66</f>
        <v>24.8051555125</v>
      </c>
    </row>
    <row r="77" customFormat="false" ht="13.8" hidden="false" customHeight="false" outlineLevel="0" collapsed="false">
      <c r="A77" s="35" t="s">
        <v>104</v>
      </c>
      <c r="B77" s="52" t="s">
        <v>98</v>
      </c>
      <c r="C77" s="52"/>
      <c r="D77" s="52"/>
      <c r="E77" s="52"/>
      <c r="F77" s="52"/>
      <c r="G77" s="52"/>
      <c r="H77" s="52"/>
      <c r="I77" s="54" t="n">
        <f aca="false">I71</f>
        <v>-9.63431666666668</v>
      </c>
    </row>
    <row r="78" customFormat="false" ht="13.8" hidden="false" customHeight="false" outlineLevel="0" collapsed="false">
      <c r="A78" s="35" t="s">
        <v>105</v>
      </c>
      <c r="B78" s="35"/>
      <c r="C78" s="35"/>
      <c r="D78" s="35"/>
      <c r="E78" s="35"/>
      <c r="F78" s="35"/>
      <c r="G78" s="35"/>
      <c r="H78" s="35"/>
      <c r="I78" s="54" t="n">
        <f aca="false">SUM(I75:I77)</f>
        <v>208.464203908333</v>
      </c>
    </row>
    <row r="79" customFormat="false" ht="13.8" hidden="false" customHeight="false" outlineLevel="0" collapsed="false">
      <c r="A79" s="69"/>
      <c r="B79" s="69"/>
      <c r="C79" s="69"/>
      <c r="D79" s="69"/>
      <c r="E79" s="69"/>
      <c r="F79" s="69"/>
      <c r="G79" s="69"/>
      <c r="H79" s="69"/>
      <c r="I79" s="69"/>
    </row>
    <row r="80" customFormat="false" ht="13.8" hidden="false" customHeight="false" outlineLevel="0" collapsed="false">
      <c r="A80" s="45" t="s">
        <v>106</v>
      </c>
      <c r="B80" s="45"/>
      <c r="C80" s="45"/>
      <c r="D80" s="45"/>
      <c r="E80" s="45"/>
      <c r="F80" s="45"/>
      <c r="G80" s="45"/>
      <c r="H80" s="45"/>
      <c r="I80" s="45"/>
    </row>
    <row r="81" customFormat="false" ht="13.8" hidden="false" customHeight="false" outlineLevel="0" collapsed="false">
      <c r="A81" s="35" t="s">
        <v>172</v>
      </c>
      <c r="B81" s="35"/>
      <c r="C81" s="35"/>
      <c r="D81" s="35"/>
      <c r="E81" s="35"/>
      <c r="F81" s="35"/>
      <c r="G81" s="35"/>
      <c r="H81" s="35"/>
      <c r="I81" s="35" t="s">
        <v>39</v>
      </c>
    </row>
    <row r="82" customFormat="false" ht="12.8" hidden="false" customHeight="true" outlineLevel="0" collapsed="false">
      <c r="A82" s="32" t="s">
        <v>107</v>
      </c>
      <c r="B82" s="32"/>
      <c r="C82" s="32"/>
      <c r="D82" s="32"/>
      <c r="E82" s="32"/>
      <c r="F82" s="32"/>
      <c r="G82" s="32"/>
      <c r="H82" s="70" t="s">
        <v>108</v>
      </c>
      <c r="I82" s="70" t="s">
        <v>109</v>
      </c>
    </row>
    <row r="83" customFormat="false" ht="12.8" hidden="false" customHeight="false" outlineLevel="0" collapsed="false">
      <c r="A83" s="32"/>
      <c r="B83" s="32"/>
      <c r="C83" s="32"/>
      <c r="D83" s="32"/>
      <c r="E83" s="32"/>
      <c r="F83" s="32"/>
      <c r="G83" s="32"/>
      <c r="H83" s="70"/>
      <c r="I83" s="70"/>
    </row>
    <row r="84" customFormat="false" ht="13.8" hidden="false" customHeight="false" outlineLevel="0" collapsed="false">
      <c r="A84" s="35" t="s">
        <v>8</v>
      </c>
      <c r="B84" s="46" t="s">
        <v>110</v>
      </c>
      <c r="C84" s="46"/>
      <c r="D84" s="46"/>
      <c r="E84" s="46"/>
      <c r="F84" s="46"/>
      <c r="G84" s="46"/>
      <c r="H84" s="47" t="n">
        <v>0.5</v>
      </c>
      <c r="I84" s="71" t="n">
        <f aca="false">(1*30)*H84</f>
        <v>15</v>
      </c>
    </row>
    <row r="85" customFormat="false" ht="13.8" hidden="false" customHeight="false" outlineLevel="0" collapsed="false">
      <c r="A85" s="35" t="s">
        <v>10</v>
      </c>
      <c r="B85" s="46" t="s">
        <v>111</v>
      </c>
      <c r="C85" s="46"/>
      <c r="D85" s="46"/>
      <c r="E85" s="46"/>
      <c r="F85" s="46"/>
      <c r="G85" s="46"/>
      <c r="H85" s="47" t="n">
        <v>1</v>
      </c>
      <c r="I85" s="71" t="n">
        <f aca="false">(1*1)*H85</f>
        <v>1</v>
      </c>
    </row>
    <row r="86" customFormat="false" ht="13.8" hidden="false" customHeight="false" outlineLevel="0" collapsed="false">
      <c r="A86" s="35" t="s">
        <v>13</v>
      </c>
      <c r="B86" s="46" t="s">
        <v>112</v>
      </c>
      <c r="C86" s="46"/>
      <c r="D86" s="46"/>
      <c r="E86" s="46"/>
      <c r="F86" s="46"/>
      <c r="G86" s="46"/>
      <c r="H86" s="47" t="n">
        <v>0.5</v>
      </c>
      <c r="I86" s="71" t="n">
        <f aca="false">(0.0922*15)*H86</f>
        <v>0.6915</v>
      </c>
    </row>
    <row r="87" customFormat="false" ht="13.8" hidden="false" customHeight="false" outlineLevel="0" collapsed="false">
      <c r="A87" s="35" t="s">
        <v>16</v>
      </c>
      <c r="B87" s="46" t="s">
        <v>113</v>
      </c>
      <c r="C87" s="46"/>
      <c r="D87" s="46"/>
      <c r="E87" s="46"/>
      <c r="F87" s="46"/>
      <c r="G87" s="46"/>
      <c r="H87" s="47" t="n">
        <v>0.5</v>
      </c>
      <c r="I87" s="71" t="n">
        <f aca="false">(1*5)*H87</f>
        <v>2.5</v>
      </c>
    </row>
    <row r="88" customFormat="false" ht="13.8" hidden="false" customHeight="false" outlineLevel="0" collapsed="false">
      <c r="A88" s="35" t="s">
        <v>55</v>
      </c>
      <c r="B88" s="46" t="s">
        <v>114</v>
      </c>
      <c r="C88" s="46"/>
      <c r="D88" s="46"/>
      <c r="E88" s="46"/>
      <c r="F88" s="46"/>
      <c r="G88" s="46"/>
      <c r="H88" s="47" t="n">
        <v>1</v>
      </c>
      <c r="I88" s="71" t="n">
        <f aca="false">(0.1522*2)*H88</f>
        <v>0.3044</v>
      </c>
    </row>
    <row r="89" customFormat="false" ht="13.8" hidden="false" customHeight="false" outlineLevel="0" collapsed="false">
      <c r="A89" s="35" t="s">
        <v>57</v>
      </c>
      <c r="B89" s="46" t="s">
        <v>115</v>
      </c>
      <c r="C89" s="46"/>
      <c r="D89" s="46"/>
      <c r="E89" s="46"/>
      <c r="F89" s="46"/>
      <c r="G89" s="46"/>
      <c r="H89" s="47" t="n">
        <v>0.5</v>
      </c>
      <c r="I89" s="71" t="n">
        <f aca="false">(0.0309*2)*H89</f>
        <v>0.0309</v>
      </c>
    </row>
    <row r="90" customFormat="false" ht="13.8" hidden="false" customHeight="false" outlineLevel="0" collapsed="false">
      <c r="A90" s="35" t="s">
        <v>59</v>
      </c>
      <c r="B90" s="46" t="s">
        <v>116</v>
      </c>
      <c r="C90" s="46"/>
      <c r="D90" s="46"/>
      <c r="E90" s="46"/>
      <c r="F90" s="46"/>
      <c r="G90" s="46"/>
      <c r="H90" s="47" t="n">
        <v>0.5</v>
      </c>
      <c r="I90" s="71" t="n">
        <f aca="false">(0.0123*3)*H90</f>
        <v>0.01845</v>
      </c>
    </row>
    <row r="91" customFormat="false" ht="13.8" hidden="false" customHeight="false" outlineLevel="0" collapsed="false">
      <c r="A91" s="35" t="s">
        <v>61</v>
      </c>
      <c r="B91" s="46" t="s">
        <v>117</v>
      </c>
      <c r="C91" s="46"/>
      <c r="D91" s="46"/>
      <c r="E91" s="46"/>
      <c r="F91" s="46"/>
      <c r="G91" s="46"/>
      <c r="H91" s="47" t="n">
        <v>1</v>
      </c>
      <c r="I91" s="71" t="n">
        <f aca="false">(0.02*1)*H91</f>
        <v>0.02</v>
      </c>
    </row>
    <row r="92" customFormat="false" ht="13.8" hidden="false" customHeight="false" outlineLevel="0" collapsed="false">
      <c r="A92" s="35" t="s">
        <v>118</v>
      </c>
      <c r="B92" s="46" t="s">
        <v>119</v>
      </c>
      <c r="C92" s="46"/>
      <c r="D92" s="46"/>
      <c r="E92" s="46"/>
      <c r="F92" s="46"/>
      <c r="G92" s="46"/>
      <c r="H92" s="47" t="n">
        <v>1</v>
      </c>
      <c r="I92" s="71" t="n">
        <f aca="false">(0.004*1)*H92</f>
        <v>0.004</v>
      </c>
    </row>
    <row r="93" customFormat="false" ht="13.8" hidden="false" customHeight="false" outlineLevel="0" collapsed="false">
      <c r="A93" s="35" t="s">
        <v>120</v>
      </c>
      <c r="B93" s="46" t="s">
        <v>121</v>
      </c>
      <c r="C93" s="46"/>
      <c r="D93" s="46"/>
      <c r="E93" s="46"/>
      <c r="F93" s="46"/>
      <c r="G93" s="46"/>
      <c r="H93" s="47" t="n">
        <v>0.5</v>
      </c>
      <c r="I93" s="71" t="n">
        <f aca="false">(0.0321*20)*H93</f>
        <v>0.321</v>
      </c>
    </row>
    <row r="94" customFormat="false" ht="13.8" hidden="false" customHeight="false" outlineLevel="0" collapsed="false">
      <c r="A94" s="35" t="s">
        <v>122</v>
      </c>
      <c r="B94" s="46" t="s">
        <v>123</v>
      </c>
      <c r="C94" s="46"/>
      <c r="D94" s="46"/>
      <c r="E94" s="46"/>
      <c r="F94" s="46"/>
      <c r="G94" s="46"/>
      <c r="H94" s="47" t="n">
        <v>0.5</v>
      </c>
      <c r="I94" s="71" t="n">
        <f aca="false">(0.0028*180)*H94</f>
        <v>0.252</v>
      </c>
    </row>
    <row r="95" customFormat="false" ht="13.8" hidden="false" customHeight="false" outlineLevel="0" collapsed="false">
      <c r="A95" s="35" t="s">
        <v>124</v>
      </c>
      <c r="B95" s="46" t="s">
        <v>125</v>
      </c>
      <c r="C95" s="46"/>
      <c r="D95" s="46"/>
      <c r="E95" s="46"/>
      <c r="F95" s="46"/>
      <c r="G95" s="46"/>
      <c r="H95" s="47" t="n">
        <v>1</v>
      </c>
      <c r="I95" s="71" t="n">
        <f aca="false">(0.002*6)*H95</f>
        <v>0.012</v>
      </c>
    </row>
    <row r="96" customFormat="false" ht="13.8" hidden="false" customHeight="false" outlineLevel="0" collapsed="false">
      <c r="A96" s="35" t="s">
        <v>126</v>
      </c>
      <c r="B96" s="35"/>
      <c r="C96" s="35"/>
      <c r="D96" s="35"/>
      <c r="E96" s="35"/>
      <c r="F96" s="35"/>
      <c r="G96" s="35"/>
      <c r="H96" s="53"/>
      <c r="I96" s="72" t="n">
        <f aca="false">(SUM(I84:I95))</f>
        <v>20.15425</v>
      </c>
    </row>
    <row r="97" customFormat="false" ht="13.8" hidden="false" customHeight="false" outlineLevel="0" collapsed="false">
      <c r="A97" s="32"/>
      <c r="B97" s="32"/>
      <c r="C97" s="32"/>
      <c r="D97" s="32"/>
      <c r="E97" s="32"/>
      <c r="F97" s="32"/>
      <c r="G97" s="32"/>
      <c r="H97" s="32"/>
      <c r="I97" s="32"/>
    </row>
    <row r="98" customFormat="false" ht="13.8" hidden="false" customHeight="false" outlineLevel="0" collapsed="false">
      <c r="A98" s="32" t="s">
        <v>127</v>
      </c>
      <c r="B98" s="32"/>
      <c r="C98" s="32"/>
      <c r="D98" s="32"/>
      <c r="E98" s="32"/>
      <c r="F98" s="32"/>
      <c r="G98" s="35" t="s">
        <v>128</v>
      </c>
      <c r="H98" s="35" t="s">
        <v>129</v>
      </c>
      <c r="I98" s="35" t="s">
        <v>39</v>
      </c>
    </row>
    <row r="99" customFormat="false" ht="13.8" hidden="false" customHeight="false" outlineLevel="0" collapsed="false">
      <c r="A99" s="35" t="s">
        <v>8</v>
      </c>
      <c r="B99" s="52" t="s">
        <v>173</v>
      </c>
      <c r="C99" s="52"/>
      <c r="D99" s="52"/>
      <c r="E99" s="52"/>
      <c r="F99" s="52"/>
      <c r="G99" s="95" t="n">
        <f aca="false">I14+I53+I78</f>
        <v>3093.602370575</v>
      </c>
      <c r="H99" s="61" t="n">
        <v>30</v>
      </c>
      <c r="I99" s="48" t="n">
        <f aca="false">G99/H99</f>
        <v>103.120079019167</v>
      </c>
    </row>
    <row r="100" customFormat="false" ht="13.8" hidden="false" customHeight="false" outlineLevel="0" collapsed="false">
      <c r="A100" s="35" t="s">
        <v>130</v>
      </c>
      <c r="B100" s="35"/>
      <c r="C100" s="35"/>
      <c r="D100" s="35"/>
      <c r="E100" s="35"/>
      <c r="F100" s="35"/>
      <c r="G100" s="35"/>
      <c r="H100" s="35"/>
      <c r="I100" s="54" t="n">
        <f aca="false">SUM(I99)</f>
        <v>103.120079019167</v>
      </c>
    </row>
    <row r="101" customFormat="false" ht="13.8" hidden="false" customHeight="false" outlineLevel="0" collapsed="false">
      <c r="A101" s="74"/>
      <c r="B101" s="74"/>
      <c r="C101" s="74"/>
      <c r="D101" s="74"/>
      <c r="E101" s="74"/>
      <c r="F101" s="74"/>
      <c r="G101" s="74"/>
      <c r="H101" s="74"/>
      <c r="I101" s="74"/>
    </row>
    <row r="102" customFormat="false" ht="13.8" hidden="false" customHeight="false" outlineLevel="0" collapsed="false">
      <c r="A102" s="74" t="s">
        <v>131</v>
      </c>
      <c r="B102" s="74"/>
      <c r="C102" s="74"/>
      <c r="D102" s="74"/>
      <c r="E102" s="74"/>
      <c r="F102" s="74"/>
      <c r="G102" s="74"/>
      <c r="H102" s="74"/>
      <c r="I102" s="74"/>
    </row>
    <row r="103" customFormat="false" ht="13.8" hidden="false" customHeight="false" outlineLevel="0" collapsed="false">
      <c r="A103" s="75"/>
      <c r="B103" s="75" t="s">
        <v>132</v>
      </c>
      <c r="C103" s="75"/>
      <c r="D103" s="75"/>
      <c r="E103" s="75"/>
      <c r="F103" s="76" t="s">
        <v>130</v>
      </c>
      <c r="G103" s="96" t="s">
        <v>109</v>
      </c>
      <c r="H103" s="76" t="s">
        <v>133</v>
      </c>
      <c r="I103" s="76" t="s">
        <v>39</v>
      </c>
    </row>
    <row r="104" customFormat="false" ht="13.8" hidden="false" customHeight="false" outlineLevel="0" collapsed="false">
      <c r="A104" s="75" t="s">
        <v>8</v>
      </c>
      <c r="B104" s="77" t="s">
        <v>173</v>
      </c>
      <c r="C104" s="77"/>
      <c r="D104" s="77"/>
      <c r="E104" s="77"/>
      <c r="F104" s="78" t="n">
        <f aca="false">I100</f>
        <v>103.120079019167</v>
      </c>
      <c r="G104" s="79" t="n">
        <f aca="false">I96</f>
        <v>20.15425</v>
      </c>
      <c r="H104" s="78" t="n">
        <f aca="false">G104*F104</f>
        <v>2078.30785257204</v>
      </c>
      <c r="I104" s="78" t="n">
        <f aca="false">H104/12</f>
        <v>173.19232104767</v>
      </c>
    </row>
    <row r="105" customFormat="false" ht="13.8" hidden="false" customHeight="false" outlineLevel="0" collapsed="false">
      <c r="A105" s="75"/>
      <c r="B105" s="75" t="s">
        <v>134</v>
      </c>
      <c r="C105" s="75"/>
      <c r="D105" s="75"/>
      <c r="E105" s="75"/>
      <c r="F105" s="75"/>
      <c r="G105" s="75"/>
      <c r="H105" s="75"/>
      <c r="I105" s="80" t="n">
        <f aca="false">I104</f>
        <v>173.19232104767</v>
      </c>
    </row>
    <row r="106" customFormat="false" ht="13.8" hidden="false" customHeight="false" outlineLevel="0" collapsed="false">
      <c r="A106" s="73"/>
      <c r="B106" s="73"/>
      <c r="C106" s="73"/>
      <c r="D106" s="73"/>
      <c r="E106" s="73"/>
      <c r="F106" s="73"/>
      <c r="G106" s="73"/>
      <c r="H106" s="73"/>
      <c r="I106" s="73"/>
    </row>
    <row r="107" customFormat="false" ht="13.8" hidden="false" customHeight="false" outlineLevel="0" collapsed="false">
      <c r="A107" s="35" t="s">
        <v>174</v>
      </c>
      <c r="B107" s="35"/>
      <c r="C107" s="35"/>
      <c r="D107" s="35"/>
      <c r="E107" s="35"/>
      <c r="F107" s="35"/>
      <c r="G107" s="35"/>
      <c r="H107" s="35" t="s">
        <v>38</v>
      </c>
      <c r="I107" s="35" t="s">
        <v>39</v>
      </c>
    </row>
    <row r="108" customFormat="false" ht="13.8" hidden="false" customHeight="false" outlineLevel="0" collapsed="false">
      <c r="A108" s="35" t="s">
        <v>8</v>
      </c>
      <c r="B108" s="46" t="s">
        <v>175</v>
      </c>
      <c r="C108" s="46"/>
      <c r="D108" s="46"/>
      <c r="E108" s="46"/>
      <c r="F108" s="46"/>
      <c r="G108" s="46"/>
      <c r="H108" s="47" t="n">
        <v>0</v>
      </c>
      <c r="I108" s="48" t="n">
        <f aca="false">$I$14*H108</f>
        <v>0</v>
      </c>
    </row>
    <row r="109" customFormat="false" ht="13.8" hidden="false" customHeight="false" outlineLevel="0" collapsed="false">
      <c r="A109" s="35" t="s">
        <v>176</v>
      </c>
      <c r="B109" s="35"/>
      <c r="C109" s="35"/>
      <c r="D109" s="35"/>
      <c r="E109" s="35"/>
      <c r="F109" s="35"/>
      <c r="G109" s="35"/>
      <c r="H109" s="53" t="n">
        <f aca="false">TRUNC(SUM(H108),4)</f>
        <v>0</v>
      </c>
      <c r="I109" s="54" t="n">
        <f aca="false">SUM(I108)</f>
        <v>0</v>
      </c>
    </row>
    <row r="110" customFormat="false" ht="13.8" hidden="false" customHeight="false" outlineLevel="0" collapsed="false">
      <c r="A110" s="81"/>
      <c r="B110" s="81"/>
      <c r="C110" s="81"/>
      <c r="D110" s="81"/>
      <c r="E110" s="81"/>
      <c r="F110" s="81"/>
      <c r="G110" s="81"/>
      <c r="H110" s="81"/>
      <c r="I110" s="81"/>
    </row>
    <row r="111" customFormat="false" ht="13.8" hidden="false" customHeight="false" outlineLevel="0" collapsed="false">
      <c r="A111" s="67" t="s">
        <v>135</v>
      </c>
      <c r="B111" s="67"/>
      <c r="C111" s="67"/>
      <c r="D111" s="67"/>
      <c r="E111" s="67"/>
      <c r="F111" s="67"/>
      <c r="G111" s="67"/>
      <c r="H111" s="67"/>
      <c r="I111" s="67"/>
    </row>
    <row r="112" customFormat="false" ht="13.8" hidden="false" customHeight="false" outlineLevel="0" collapsed="false">
      <c r="A112" s="35" t="s">
        <v>136</v>
      </c>
      <c r="B112" s="35"/>
      <c r="C112" s="35"/>
      <c r="D112" s="35"/>
      <c r="E112" s="35"/>
      <c r="F112" s="35"/>
      <c r="G112" s="35"/>
      <c r="H112" s="35"/>
      <c r="I112" s="35" t="s">
        <v>39</v>
      </c>
    </row>
    <row r="113" customFormat="false" ht="13.8" hidden="false" customHeight="false" outlineLevel="0" collapsed="false">
      <c r="A113" s="35" t="s">
        <v>137</v>
      </c>
      <c r="B113" s="46" t="s">
        <v>138</v>
      </c>
      <c r="C113" s="46"/>
      <c r="D113" s="46"/>
      <c r="E113" s="46"/>
      <c r="F113" s="46"/>
      <c r="G113" s="46"/>
      <c r="H113" s="46"/>
      <c r="I113" s="48" t="n">
        <f aca="false">I105</f>
        <v>173.19232104767</v>
      </c>
    </row>
    <row r="114" customFormat="false" ht="13.8" hidden="false" customHeight="false" outlineLevel="0" collapsed="false">
      <c r="A114" s="35" t="s">
        <v>177</v>
      </c>
      <c r="B114" s="46" t="s">
        <v>178</v>
      </c>
      <c r="C114" s="46"/>
      <c r="D114" s="46"/>
      <c r="E114" s="46"/>
      <c r="F114" s="46"/>
      <c r="G114" s="46"/>
      <c r="H114" s="46"/>
      <c r="I114" s="48" t="n">
        <f aca="false">I109</f>
        <v>0</v>
      </c>
    </row>
    <row r="115" customFormat="false" ht="13.8" hidden="false" customHeight="false" outlineLevel="0" collapsed="false">
      <c r="A115" s="35" t="s">
        <v>139</v>
      </c>
      <c r="B115" s="35"/>
      <c r="C115" s="35"/>
      <c r="D115" s="35"/>
      <c r="E115" s="35"/>
      <c r="F115" s="35"/>
      <c r="G115" s="35"/>
      <c r="H115" s="35"/>
      <c r="I115" s="54" t="n">
        <f aca="false">SUM(I113:I114)</f>
        <v>173.19232104767</v>
      </c>
    </row>
    <row r="116" customFormat="false" ht="13.8" hidden="false" customHeight="false" outlineLevel="0" collapsed="false">
      <c r="A116" s="68"/>
      <c r="B116" s="68"/>
      <c r="C116" s="68"/>
      <c r="D116" s="68"/>
      <c r="E116" s="68"/>
      <c r="F116" s="68"/>
      <c r="G116" s="68"/>
      <c r="H116" s="68"/>
      <c r="I116" s="68"/>
    </row>
    <row r="117" customFormat="false" ht="13.8" hidden="false" customHeight="false" outlineLevel="0" collapsed="false">
      <c r="A117" s="45" t="s">
        <v>140</v>
      </c>
      <c r="B117" s="45"/>
      <c r="C117" s="45"/>
      <c r="D117" s="45"/>
      <c r="E117" s="45"/>
      <c r="F117" s="45"/>
      <c r="G117" s="45"/>
      <c r="H117" s="45"/>
      <c r="I117" s="45"/>
    </row>
    <row r="118" customFormat="false" ht="13.8" hidden="false" customHeight="false" outlineLevel="0" collapsed="false">
      <c r="A118" s="35" t="n">
        <v>5</v>
      </c>
      <c r="B118" s="35" t="s">
        <v>141</v>
      </c>
      <c r="C118" s="35"/>
      <c r="D118" s="35"/>
      <c r="E118" s="35"/>
      <c r="F118" s="35"/>
      <c r="G118" s="35"/>
      <c r="H118" s="35"/>
      <c r="I118" s="35" t="s">
        <v>39</v>
      </c>
    </row>
    <row r="119" customFormat="false" ht="13.8" hidden="false" customHeight="false" outlineLevel="0" collapsed="false">
      <c r="A119" s="35" t="s">
        <v>8</v>
      </c>
      <c r="B119" s="66" t="s">
        <v>142</v>
      </c>
      <c r="C119" s="66"/>
      <c r="D119" s="66"/>
      <c r="E119" s="66"/>
      <c r="F119" s="66"/>
      <c r="G119" s="66"/>
      <c r="H119" s="61" t="s">
        <v>70</v>
      </c>
      <c r="I119" s="48" t="n">
        <f aca="false">Uniformes!G38</f>
        <v>42.3891666666667</v>
      </c>
    </row>
    <row r="120" customFormat="false" ht="13.8" hidden="false" customHeight="false" outlineLevel="0" collapsed="false">
      <c r="A120" s="35" t="s">
        <v>10</v>
      </c>
      <c r="B120" s="66" t="s">
        <v>143</v>
      </c>
      <c r="C120" s="66"/>
      <c r="D120" s="66"/>
      <c r="E120" s="66"/>
      <c r="F120" s="66"/>
      <c r="G120" s="66"/>
      <c r="H120" s="61" t="s">
        <v>70</v>
      </c>
      <c r="I120" s="48" t="n">
        <f aca="false">EPIs!G41</f>
        <v>44.1391666666667</v>
      </c>
    </row>
    <row r="121" customFormat="false" ht="13.8" hidden="false" customHeight="false" outlineLevel="0" collapsed="false">
      <c r="A121" s="83" t="s">
        <v>13</v>
      </c>
      <c r="B121" s="66" t="s">
        <v>144</v>
      </c>
      <c r="C121" s="66"/>
      <c r="D121" s="66"/>
      <c r="E121" s="66"/>
      <c r="F121" s="66"/>
      <c r="G121" s="66"/>
      <c r="H121" s="61" t="s">
        <v>70</v>
      </c>
      <c r="I121" s="48" t="n">
        <f aca="false">Materiais!G20</f>
        <v>4.64</v>
      </c>
    </row>
    <row r="122" customFormat="false" ht="13.8" hidden="false" customHeight="false" outlineLevel="0" collapsed="false">
      <c r="A122" s="83" t="s">
        <v>16</v>
      </c>
      <c r="B122" s="66" t="s">
        <v>145</v>
      </c>
      <c r="C122" s="66"/>
      <c r="D122" s="66"/>
      <c r="E122" s="66"/>
      <c r="F122" s="66"/>
      <c r="G122" s="66"/>
      <c r="H122" s="61" t="s">
        <v>70</v>
      </c>
      <c r="I122" s="48" t="n">
        <f aca="false">Equipamentos!J26</f>
        <v>1.00062222222222</v>
      </c>
    </row>
    <row r="123" customFormat="false" ht="13.8" hidden="false" customHeight="false" outlineLevel="0" collapsed="false">
      <c r="A123" s="83" t="s">
        <v>55</v>
      </c>
      <c r="B123" s="66" t="s">
        <v>146</v>
      </c>
      <c r="C123" s="66"/>
      <c r="D123" s="66"/>
      <c r="E123" s="66"/>
      <c r="F123" s="66"/>
      <c r="G123" s="66"/>
      <c r="H123" s="61" t="s">
        <v>70</v>
      </c>
      <c r="I123" s="48" t="n">
        <v>0</v>
      </c>
    </row>
    <row r="124" customFormat="false" ht="13.8" hidden="false" customHeight="false" outlineLevel="0" collapsed="false">
      <c r="A124" s="35" t="s">
        <v>147</v>
      </c>
      <c r="B124" s="35"/>
      <c r="C124" s="35"/>
      <c r="D124" s="35"/>
      <c r="E124" s="35"/>
      <c r="F124" s="35"/>
      <c r="G124" s="35"/>
      <c r="H124" s="53" t="s">
        <v>70</v>
      </c>
      <c r="I124" s="54" t="n">
        <f aca="false">SUM(I119:I123)</f>
        <v>92.1689555555556</v>
      </c>
    </row>
    <row r="125" customFormat="false" ht="13.8" hidden="false" customHeight="false" outlineLevel="0" collapsed="false">
      <c r="A125" s="68"/>
      <c r="B125" s="68"/>
      <c r="C125" s="68"/>
      <c r="D125" s="68"/>
      <c r="E125" s="68"/>
      <c r="F125" s="68"/>
      <c r="G125" s="68"/>
      <c r="H125" s="68"/>
      <c r="I125" s="68"/>
    </row>
    <row r="126" customFormat="false" ht="13.8" hidden="false" customHeight="false" outlineLevel="0" collapsed="false">
      <c r="A126" s="45" t="s">
        <v>148</v>
      </c>
      <c r="B126" s="45"/>
      <c r="C126" s="45"/>
      <c r="D126" s="45"/>
      <c r="E126" s="45"/>
      <c r="F126" s="45"/>
      <c r="G126" s="45"/>
      <c r="H126" s="45"/>
      <c r="I126" s="45"/>
    </row>
    <row r="127" customFormat="false" ht="13.8" hidden="false" customHeight="false" outlineLevel="0" collapsed="false">
      <c r="A127" s="35" t="n">
        <v>6</v>
      </c>
      <c r="B127" s="35" t="s">
        <v>149</v>
      </c>
      <c r="C127" s="35"/>
      <c r="D127" s="35"/>
      <c r="E127" s="35"/>
      <c r="F127" s="35"/>
      <c r="G127" s="35"/>
      <c r="H127" s="35" t="s">
        <v>38</v>
      </c>
      <c r="I127" s="35" t="s">
        <v>39</v>
      </c>
    </row>
    <row r="128" customFormat="false" ht="13.8" hidden="false" customHeight="false" outlineLevel="0" collapsed="false">
      <c r="A128" s="35" t="s">
        <v>8</v>
      </c>
      <c r="B128" s="46" t="s">
        <v>150</v>
      </c>
      <c r="C128" s="46"/>
      <c r="D128" s="46"/>
      <c r="E128" s="46"/>
      <c r="F128" s="46"/>
      <c r="G128" s="46"/>
      <c r="H128" s="47" t="n">
        <v>0.06</v>
      </c>
      <c r="I128" s="41" t="n">
        <f aca="false">H128*I143</f>
        <v>210.358841557967</v>
      </c>
    </row>
    <row r="129" customFormat="false" ht="13.8" hidden="false" customHeight="false" outlineLevel="0" collapsed="false">
      <c r="A129" s="35" t="s">
        <v>10</v>
      </c>
      <c r="B129" s="46" t="s">
        <v>151</v>
      </c>
      <c r="C129" s="46"/>
      <c r="D129" s="46"/>
      <c r="E129" s="46"/>
      <c r="F129" s="46"/>
      <c r="G129" s="46"/>
      <c r="H129" s="47" t="n">
        <v>0.0679</v>
      </c>
      <c r="I129" s="41" t="n">
        <f aca="false">(H129*(I128+I143))</f>
        <v>252.339454371552</v>
      </c>
    </row>
    <row r="130" customFormat="false" ht="13.8" hidden="false" customHeight="false" outlineLevel="0" collapsed="false">
      <c r="A130" s="35" t="s">
        <v>13</v>
      </c>
      <c r="B130" s="32" t="s">
        <v>152</v>
      </c>
      <c r="C130" s="32"/>
      <c r="D130" s="32"/>
      <c r="E130" s="32" t="s">
        <v>128</v>
      </c>
      <c r="F130" s="32"/>
      <c r="G130" s="57" t="n">
        <f aca="false">(I143+I128+I129)</f>
        <v>3968.6789885623</v>
      </c>
      <c r="H130" s="86" t="n">
        <f aca="false">SUM(H131:H133)</f>
        <v>0.1325</v>
      </c>
      <c r="I130" s="41"/>
    </row>
    <row r="131" customFormat="false" ht="13.8" hidden="false" customHeight="false" outlineLevel="0" collapsed="false">
      <c r="A131" s="35" t="s">
        <v>153</v>
      </c>
      <c r="B131" s="46" t="s">
        <v>154</v>
      </c>
      <c r="C131" s="46"/>
      <c r="D131" s="46"/>
      <c r="E131" s="46"/>
      <c r="F131" s="46"/>
      <c r="G131" s="46"/>
      <c r="H131" s="86" t="n">
        <v>0.0165</v>
      </c>
      <c r="I131" s="48" t="n">
        <f aca="false">($G$130/(1-$H$130)*H131)</f>
        <v>75.4849605893694</v>
      </c>
    </row>
    <row r="132" customFormat="false" ht="13.8" hidden="false" customHeight="false" outlineLevel="0" collapsed="false">
      <c r="A132" s="35" t="s">
        <v>155</v>
      </c>
      <c r="B132" s="46" t="s">
        <v>156</v>
      </c>
      <c r="C132" s="46"/>
      <c r="D132" s="46"/>
      <c r="E132" s="46"/>
      <c r="F132" s="46"/>
      <c r="G132" s="46"/>
      <c r="H132" s="86" t="n">
        <v>0.076</v>
      </c>
      <c r="I132" s="48" t="n">
        <f aca="false">($G$130/(1-$H$130)*H132)</f>
        <v>347.688303320731</v>
      </c>
    </row>
    <row r="133" customFormat="false" ht="13.8" hidden="false" customHeight="false" outlineLevel="0" collapsed="false">
      <c r="A133" s="35" t="s">
        <v>157</v>
      </c>
      <c r="B133" s="46" t="s">
        <v>158</v>
      </c>
      <c r="C133" s="46"/>
      <c r="D133" s="46"/>
      <c r="E133" s="46"/>
      <c r="F133" s="46"/>
      <c r="G133" s="46"/>
      <c r="H133" s="86" t="n">
        <v>0.04</v>
      </c>
      <c r="I133" s="48" t="n">
        <f aca="false">($G$130/(1-$H$130)*H133)</f>
        <v>182.993843853017</v>
      </c>
    </row>
    <row r="134" customFormat="false" ht="13.8" hidden="false" customHeight="false" outlineLevel="0" collapsed="false">
      <c r="A134" s="35" t="s">
        <v>159</v>
      </c>
      <c r="B134" s="35"/>
      <c r="C134" s="35"/>
      <c r="D134" s="35"/>
      <c r="E134" s="35"/>
      <c r="F134" s="35"/>
      <c r="G134" s="35"/>
      <c r="H134" s="86" t="n">
        <f aca="false">H128+H129+H131+H132+H133</f>
        <v>0.2604</v>
      </c>
      <c r="I134" s="54" t="n">
        <f aca="false">SUM(I128+I129+I131+I132+I133)</f>
        <v>1068.86540369264</v>
      </c>
    </row>
    <row r="135" customFormat="false" ht="13.8" hidden="false" customHeight="false" outlineLevel="0" collapsed="false">
      <c r="A135" s="97"/>
      <c r="B135" s="98"/>
      <c r="C135" s="98"/>
      <c r="D135" s="98"/>
      <c r="E135" s="98"/>
      <c r="F135" s="98"/>
      <c r="G135" s="98"/>
      <c r="H135" s="98"/>
      <c r="I135" s="98"/>
    </row>
    <row r="136" customFormat="false" ht="13.8" hidden="false" customHeight="false" outlineLevel="0" collapsed="false">
      <c r="A136" s="67" t="s">
        <v>179</v>
      </c>
      <c r="B136" s="67"/>
      <c r="C136" s="67"/>
      <c r="D136" s="67"/>
      <c r="E136" s="67"/>
      <c r="F136" s="67"/>
      <c r="G136" s="67"/>
      <c r="H136" s="67"/>
      <c r="I136" s="67"/>
    </row>
    <row r="137" customFormat="false" ht="13.8" hidden="false" customHeight="false" outlineLevel="0" collapsed="false">
      <c r="A137" s="35" t="s">
        <v>166</v>
      </c>
      <c r="B137" s="35"/>
      <c r="C137" s="35"/>
      <c r="D137" s="35"/>
      <c r="E137" s="35"/>
      <c r="F137" s="35"/>
      <c r="G137" s="35"/>
      <c r="H137" s="35"/>
      <c r="I137" s="35" t="s">
        <v>39</v>
      </c>
    </row>
    <row r="138" customFormat="false" ht="13.8" hidden="false" customHeight="false" outlineLevel="0" collapsed="false">
      <c r="A138" s="61" t="s">
        <v>8</v>
      </c>
      <c r="B138" s="46" t="s">
        <v>36</v>
      </c>
      <c r="C138" s="46"/>
      <c r="D138" s="46"/>
      <c r="E138" s="46"/>
      <c r="F138" s="46"/>
      <c r="G138" s="46"/>
      <c r="H138" s="46"/>
      <c r="I138" s="48" t="n">
        <f aca="false">I16</f>
        <v>1584.51704545455</v>
      </c>
    </row>
    <row r="139" customFormat="false" ht="13.8" hidden="false" customHeight="false" outlineLevel="0" collapsed="false">
      <c r="A139" s="61" t="s">
        <v>10</v>
      </c>
      <c r="B139" s="46" t="str">
        <f aca="false">A19</f>
        <v>MÓDULO 2 – ENCARGOS E BENEFÍCIOS ANUAIS, MENSAIS E DIÁRIOS</v>
      </c>
      <c r="C139" s="46"/>
      <c r="D139" s="46"/>
      <c r="E139" s="46"/>
      <c r="F139" s="46"/>
      <c r="G139" s="46"/>
      <c r="H139" s="46"/>
      <c r="I139" s="48" t="n">
        <f aca="false">I53</f>
        <v>1447.63816666667</v>
      </c>
    </row>
    <row r="140" customFormat="false" ht="13.8" hidden="false" customHeight="false" outlineLevel="0" collapsed="false">
      <c r="A140" s="61" t="s">
        <v>13</v>
      </c>
      <c r="B140" s="46" t="str">
        <f aca="false">A55</f>
        <v>MÓDULO 3 – PROVISÃO PARA RESCISÃO</v>
      </c>
      <c r="C140" s="46"/>
      <c r="D140" s="46"/>
      <c r="E140" s="46"/>
      <c r="F140" s="46"/>
      <c r="G140" s="46"/>
      <c r="H140" s="46"/>
      <c r="I140" s="48" t="n">
        <f aca="false">I78</f>
        <v>208.464203908333</v>
      </c>
    </row>
    <row r="141" customFormat="false" ht="13.8" hidden="false" customHeight="false" outlineLevel="0" collapsed="false">
      <c r="A141" s="61" t="s">
        <v>16</v>
      </c>
      <c r="B141" s="46" t="str">
        <f aca="false">A80</f>
        <v>MÓDULO 4 – CUSTO DE REPOSIÇÃO DO PROFISSIONAL AUSENTE</v>
      </c>
      <c r="C141" s="46"/>
      <c r="D141" s="46"/>
      <c r="E141" s="46"/>
      <c r="F141" s="46"/>
      <c r="G141" s="46"/>
      <c r="H141" s="46"/>
      <c r="I141" s="48" t="n">
        <f aca="false">I115</f>
        <v>173.19232104767</v>
      </c>
    </row>
    <row r="142" customFormat="false" ht="13.8" hidden="false" customHeight="false" outlineLevel="0" collapsed="false">
      <c r="A142" s="61" t="s">
        <v>55</v>
      </c>
      <c r="B142" s="46" t="str">
        <f aca="false">A117</f>
        <v>MÓDULO 5 – INSUMOS DIVERSOS</v>
      </c>
      <c r="C142" s="46"/>
      <c r="D142" s="46"/>
      <c r="E142" s="46"/>
      <c r="F142" s="46"/>
      <c r="G142" s="46"/>
      <c r="H142" s="46"/>
      <c r="I142" s="48" t="n">
        <f aca="false">I124</f>
        <v>92.1689555555556</v>
      </c>
    </row>
    <row r="143" customFormat="false" ht="13.8" hidden="false" customHeight="false" outlineLevel="0" collapsed="false">
      <c r="A143" s="35"/>
      <c r="B143" s="35" t="s">
        <v>161</v>
      </c>
      <c r="C143" s="35"/>
      <c r="D143" s="35"/>
      <c r="E143" s="35"/>
      <c r="F143" s="35"/>
      <c r="G143" s="35"/>
      <c r="H143" s="35"/>
      <c r="I143" s="54" t="n">
        <f aca="false">SUM(I138:I142)</f>
        <v>3505.98069263278</v>
      </c>
    </row>
    <row r="144" customFormat="false" ht="13.8" hidden="false" customHeight="false" outlineLevel="0" collapsed="false">
      <c r="A144" s="61" t="s">
        <v>57</v>
      </c>
      <c r="B144" s="46" t="str">
        <f aca="false">A126</f>
        <v>MÓDULO 6 – CUSTOS INDIRETOS, TRIBUTOS E LUCRO</v>
      </c>
      <c r="C144" s="46"/>
      <c r="D144" s="46"/>
      <c r="E144" s="46"/>
      <c r="F144" s="46"/>
      <c r="G144" s="46"/>
      <c r="H144" s="46"/>
      <c r="I144" s="48" t="n">
        <f aca="false">I134</f>
        <v>1068.86540369264</v>
      </c>
    </row>
    <row r="145" customFormat="false" ht="13.8" hidden="false" customHeight="false" outlineLevel="0" collapsed="false">
      <c r="A145" s="35" t="s">
        <v>162</v>
      </c>
      <c r="B145" s="35"/>
      <c r="C145" s="35"/>
      <c r="D145" s="35"/>
      <c r="E145" s="35"/>
      <c r="F145" s="35"/>
      <c r="G145" s="35"/>
      <c r="H145" s="35"/>
      <c r="I145" s="54" t="n">
        <f aca="false">ROUNDUP(SUM(I143:I144),2)</f>
        <v>4574.85</v>
      </c>
    </row>
    <row r="146" customFormat="false" ht="13.8" hidden="false" customHeight="false" outlineLevel="0" collapsed="false">
      <c r="A146" s="35" t="s">
        <v>180</v>
      </c>
      <c r="B146" s="35"/>
      <c r="C146" s="35"/>
      <c r="D146" s="35"/>
      <c r="E146" s="35"/>
      <c r="F146" s="35"/>
      <c r="G146" s="35"/>
      <c r="H146" s="35"/>
      <c r="I146" s="54" t="n">
        <f aca="false">I145*2</f>
        <v>9149.7</v>
      </c>
    </row>
  </sheetData>
  <mergeCells count="156">
    <mergeCell ref="A1:I1"/>
    <mergeCell ref="A2:I2"/>
    <mergeCell ref="A4:I4"/>
    <mergeCell ref="B5:G5"/>
    <mergeCell ref="H5:I5"/>
    <mergeCell ref="B6:G6"/>
    <mergeCell ref="H6:I6"/>
    <mergeCell ref="B7:G7"/>
    <mergeCell ref="H7:I7"/>
    <mergeCell ref="B8:G8"/>
    <mergeCell ref="H8:I8"/>
    <mergeCell ref="A9:I9"/>
    <mergeCell ref="A10:I10"/>
    <mergeCell ref="B11:G11"/>
    <mergeCell ref="B12:G12"/>
    <mergeCell ref="B13:G13"/>
    <mergeCell ref="A14:H14"/>
    <mergeCell ref="B15:G15"/>
    <mergeCell ref="A16:H16"/>
    <mergeCell ref="A17:I17"/>
    <mergeCell ref="A18:I18"/>
    <mergeCell ref="A19:I19"/>
    <mergeCell ref="A20:G20"/>
    <mergeCell ref="B21:G21"/>
    <mergeCell ref="B22:G22"/>
    <mergeCell ref="B23:G23"/>
    <mergeCell ref="A24:G24"/>
    <mergeCell ref="A25:I25"/>
    <mergeCell ref="A26:G26"/>
    <mergeCell ref="B27:G27"/>
    <mergeCell ref="B28:G28"/>
    <mergeCell ref="A29:A30"/>
    <mergeCell ref="B29:G29"/>
    <mergeCell ref="H29:H30"/>
    <mergeCell ref="I29:I30"/>
    <mergeCell ref="B31:G31"/>
    <mergeCell ref="B32:G32"/>
    <mergeCell ref="B33:G33"/>
    <mergeCell ref="B34:G34"/>
    <mergeCell ref="B35:G35"/>
    <mergeCell ref="A36:G36"/>
    <mergeCell ref="A37:I37"/>
    <mergeCell ref="A38:G38"/>
    <mergeCell ref="A39:A40"/>
    <mergeCell ref="B39:E40"/>
    <mergeCell ref="F39:G39"/>
    <mergeCell ref="I39:I40"/>
    <mergeCell ref="F40:G40"/>
    <mergeCell ref="B41:G41"/>
    <mergeCell ref="B42:G42"/>
    <mergeCell ref="B43:G43"/>
    <mergeCell ref="B44:G44"/>
    <mergeCell ref="B45:G45"/>
    <mergeCell ref="A46:H46"/>
    <mergeCell ref="A47:I47"/>
    <mergeCell ref="A48:I48"/>
    <mergeCell ref="A49:H49"/>
    <mergeCell ref="B50:H50"/>
    <mergeCell ref="B51:H51"/>
    <mergeCell ref="B52:H52"/>
    <mergeCell ref="A53:H53"/>
    <mergeCell ref="A54:I54"/>
    <mergeCell ref="A55:I55"/>
    <mergeCell ref="A56:G56"/>
    <mergeCell ref="B57:G57"/>
    <mergeCell ref="B58:G58"/>
    <mergeCell ref="B59:G59"/>
    <mergeCell ref="A60:G60"/>
    <mergeCell ref="A61:I61"/>
    <mergeCell ref="A62:G62"/>
    <mergeCell ref="B63:G63"/>
    <mergeCell ref="B64:G64"/>
    <mergeCell ref="B65:G65"/>
    <mergeCell ref="A66:G66"/>
    <mergeCell ref="A67:I67"/>
    <mergeCell ref="A68:G68"/>
    <mergeCell ref="B69:G69"/>
    <mergeCell ref="B70:G70"/>
    <mergeCell ref="A71:G71"/>
    <mergeCell ref="A72:I72"/>
    <mergeCell ref="A73:I73"/>
    <mergeCell ref="A74:H74"/>
    <mergeCell ref="B75:H75"/>
    <mergeCell ref="B76:H76"/>
    <mergeCell ref="B77:H77"/>
    <mergeCell ref="A78:H78"/>
    <mergeCell ref="A79:I79"/>
    <mergeCell ref="A80:I80"/>
    <mergeCell ref="A81:G81"/>
    <mergeCell ref="A82:G83"/>
    <mergeCell ref="H82:H83"/>
    <mergeCell ref="I82:I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A96:G96"/>
    <mergeCell ref="A97:I97"/>
    <mergeCell ref="A98:F98"/>
    <mergeCell ref="B99:F99"/>
    <mergeCell ref="A100:G100"/>
    <mergeCell ref="A101:I101"/>
    <mergeCell ref="A102:I102"/>
    <mergeCell ref="B103:E103"/>
    <mergeCell ref="B104:E104"/>
    <mergeCell ref="B105:H105"/>
    <mergeCell ref="A106:I106"/>
    <mergeCell ref="A107:G107"/>
    <mergeCell ref="B108:G108"/>
    <mergeCell ref="A109:G109"/>
    <mergeCell ref="A110:I110"/>
    <mergeCell ref="A111:I111"/>
    <mergeCell ref="A112:H112"/>
    <mergeCell ref="B113:H113"/>
    <mergeCell ref="B114:H114"/>
    <mergeCell ref="A115:H115"/>
    <mergeCell ref="A116:I116"/>
    <mergeCell ref="A117:I117"/>
    <mergeCell ref="B118:G118"/>
    <mergeCell ref="B119:G119"/>
    <mergeCell ref="B120:G120"/>
    <mergeCell ref="B121:G121"/>
    <mergeCell ref="B122:G122"/>
    <mergeCell ref="B123:G123"/>
    <mergeCell ref="A124:G124"/>
    <mergeCell ref="A125:I125"/>
    <mergeCell ref="A126:I126"/>
    <mergeCell ref="B127:G127"/>
    <mergeCell ref="B128:G128"/>
    <mergeCell ref="B129:G129"/>
    <mergeCell ref="B130:D130"/>
    <mergeCell ref="E130:F130"/>
    <mergeCell ref="B131:G131"/>
    <mergeCell ref="B132:G132"/>
    <mergeCell ref="B133:G133"/>
    <mergeCell ref="A134:G134"/>
    <mergeCell ref="B135:I135"/>
    <mergeCell ref="A136:I136"/>
    <mergeCell ref="A137:H137"/>
    <mergeCell ref="B138:H138"/>
    <mergeCell ref="B139:H139"/>
    <mergeCell ref="B140:H140"/>
    <mergeCell ref="B141:H141"/>
    <mergeCell ref="B142:H142"/>
    <mergeCell ref="B143:H143"/>
    <mergeCell ref="B144:H144"/>
    <mergeCell ref="A145:H145"/>
    <mergeCell ref="A146:H14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48"/>
  <sheetViews>
    <sheetView showFormulas="false" showGridLines="true" showRowColHeaders="true" showZeros="true" rightToLeft="false" tabSelected="false" showOutlineSymbols="true" defaultGridColor="true" view="pageBreakPreview" topLeftCell="A104" colorId="64" zoomScale="100" zoomScaleNormal="81" zoomScalePageLayoutView="100" workbookViewId="0">
      <selection pane="topLeft" activeCell="K151" activeCellId="0" sqref="K151"/>
    </sheetView>
  </sheetViews>
  <sheetFormatPr defaultRowHeight="12.8" zeroHeight="false" outlineLevelRow="0" outlineLevelCol="0"/>
  <cols>
    <col collapsed="false" customWidth="false" hidden="false" outlineLevel="0" max="6" min="1" style="20" width="11.52"/>
    <col collapsed="false" customWidth="true" hidden="false" outlineLevel="0" max="7" min="7" style="20" width="15.02"/>
    <col collapsed="false" customWidth="false" hidden="false" outlineLevel="0" max="8" min="8" style="20" width="11.52"/>
    <col collapsed="false" customWidth="true" hidden="false" outlineLevel="0" max="9" min="9" style="20" width="14.59"/>
    <col collapsed="false" customWidth="false" hidden="false" outlineLevel="0" max="1025" min="10" style="20" width="11.52"/>
  </cols>
  <sheetData>
    <row r="1" customFormat="false" ht="12.8" hidden="false" customHeight="false" outlineLevel="0" collapsed="false">
      <c r="A1" s="22"/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false" outlineLevel="0" collapsed="false">
      <c r="A2" s="23" t="s">
        <v>28</v>
      </c>
      <c r="B2" s="23"/>
      <c r="C2" s="23"/>
      <c r="D2" s="23"/>
      <c r="E2" s="23"/>
      <c r="F2" s="23"/>
      <c r="G2" s="23"/>
      <c r="H2" s="23"/>
      <c r="I2" s="23"/>
    </row>
    <row r="3" customFormat="false" ht="15" hidden="false" customHeight="false" outlineLevel="0" collapsed="false">
      <c r="A3" s="25"/>
      <c r="B3" s="25"/>
      <c r="C3" s="25"/>
      <c r="D3" s="25"/>
      <c r="E3" s="25"/>
      <c r="F3" s="25"/>
      <c r="G3" s="25"/>
      <c r="H3" s="25"/>
      <c r="I3" s="25"/>
    </row>
    <row r="4" customFormat="false" ht="15" hidden="false" customHeight="false" outlineLevel="0" collapsed="false">
      <c r="A4" s="26" t="s">
        <v>29</v>
      </c>
      <c r="B4" s="26"/>
      <c r="C4" s="26"/>
      <c r="D4" s="26"/>
      <c r="E4" s="26"/>
      <c r="F4" s="26"/>
      <c r="G4" s="26"/>
      <c r="H4" s="26"/>
      <c r="I4" s="26"/>
    </row>
    <row r="5" customFormat="false" ht="15" hidden="false" customHeight="false" outlineLevel="0" collapsed="false">
      <c r="A5" s="27" t="n">
        <v>1</v>
      </c>
      <c r="B5" s="28" t="s">
        <v>30</v>
      </c>
      <c r="C5" s="28"/>
      <c r="D5" s="28"/>
      <c r="E5" s="28"/>
      <c r="F5" s="28"/>
      <c r="G5" s="28"/>
      <c r="H5" s="29" t="s">
        <v>181</v>
      </c>
      <c r="I5" s="29" t="s">
        <v>31</v>
      </c>
    </row>
    <row r="6" customFormat="false" ht="15" hidden="false" customHeight="false" outlineLevel="0" collapsed="false">
      <c r="A6" s="27" t="n">
        <v>2</v>
      </c>
      <c r="B6" s="28" t="s">
        <v>32</v>
      </c>
      <c r="C6" s="28"/>
      <c r="D6" s="28"/>
      <c r="E6" s="28"/>
      <c r="F6" s="28"/>
      <c r="G6" s="28"/>
      <c r="H6" s="30" t="n">
        <v>1411.65</v>
      </c>
      <c r="I6" s="30"/>
    </row>
    <row r="7" customFormat="false" ht="15" hidden="false" customHeight="false" outlineLevel="0" collapsed="false">
      <c r="A7" s="27" t="n">
        <v>3</v>
      </c>
      <c r="B7" s="28" t="s">
        <v>33</v>
      </c>
      <c r="C7" s="28"/>
      <c r="D7" s="28"/>
      <c r="E7" s="28"/>
      <c r="F7" s="28"/>
      <c r="G7" s="28"/>
      <c r="H7" s="29" t="s">
        <v>34</v>
      </c>
      <c r="I7" s="29"/>
    </row>
    <row r="8" customFormat="false" ht="15" hidden="false" customHeight="false" outlineLevel="0" collapsed="false">
      <c r="A8" s="27" t="n">
        <v>4</v>
      </c>
      <c r="B8" s="28" t="s">
        <v>35</v>
      </c>
      <c r="C8" s="28"/>
      <c r="D8" s="28"/>
      <c r="E8" s="28"/>
      <c r="F8" s="28"/>
      <c r="G8" s="28"/>
      <c r="H8" s="31" t="n">
        <v>43497</v>
      </c>
      <c r="I8" s="31"/>
    </row>
    <row r="9" customFormat="false" ht="12.8" hidden="false" customHeight="false" outlineLevel="0" collapsed="false">
      <c r="A9" s="88"/>
      <c r="B9" s="88"/>
      <c r="C9" s="88"/>
      <c r="D9" s="88"/>
      <c r="E9" s="88"/>
      <c r="F9" s="88"/>
      <c r="G9" s="88"/>
      <c r="H9" s="88"/>
      <c r="I9" s="88"/>
    </row>
    <row r="10" customFormat="false" ht="13.8" hidden="false" customHeight="false" outlineLevel="0" collapsed="false">
      <c r="A10" s="33" t="s">
        <v>36</v>
      </c>
      <c r="B10" s="33"/>
      <c r="C10" s="33"/>
      <c r="D10" s="33"/>
      <c r="E10" s="33"/>
      <c r="F10" s="33"/>
      <c r="G10" s="33"/>
      <c r="H10" s="33"/>
      <c r="I10" s="33"/>
    </row>
    <row r="11" customFormat="false" ht="13.8" hidden="false" customHeight="false" outlineLevel="0" collapsed="false">
      <c r="A11" s="34" t="n">
        <v>1</v>
      </c>
      <c r="B11" s="35" t="s">
        <v>37</v>
      </c>
      <c r="C11" s="35"/>
      <c r="D11" s="35"/>
      <c r="E11" s="35"/>
      <c r="F11" s="35"/>
      <c r="G11" s="35"/>
      <c r="H11" s="36" t="s">
        <v>38</v>
      </c>
      <c r="I11" s="37" t="s">
        <v>39</v>
      </c>
    </row>
    <row r="12" customFormat="false" ht="13.8" hidden="false" customHeight="false" outlineLevel="0" collapsed="false">
      <c r="A12" s="38" t="s">
        <v>8</v>
      </c>
      <c r="B12" s="39" t="s">
        <v>40</v>
      </c>
      <c r="C12" s="39"/>
      <c r="D12" s="39"/>
      <c r="E12" s="39"/>
      <c r="F12" s="39"/>
      <c r="G12" s="39"/>
      <c r="H12" s="89"/>
      <c r="I12" s="41" t="n">
        <f aca="false">H6</f>
        <v>1411.65</v>
      </c>
    </row>
    <row r="13" customFormat="false" ht="13.8" hidden="false" customHeight="false" outlineLevel="0" collapsed="false">
      <c r="A13" s="38" t="s">
        <v>10</v>
      </c>
      <c r="B13" s="39" t="s">
        <v>168</v>
      </c>
      <c r="C13" s="39"/>
      <c r="D13" s="39"/>
      <c r="E13" s="39"/>
      <c r="F13" s="39"/>
      <c r="G13" s="39"/>
      <c r="H13" s="40"/>
      <c r="I13" s="41" t="n">
        <v>25.85</v>
      </c>
    </row>
    <row r="14" customFormat="false" ht="13.8" hidden="false" customHeight="false" outlineLevel="0" collapsed="false">
      <c r="A14" s="38" t="s">
        <v>13</v>
      </c>
      <c r="B14" s="39" t="s">
        <v>182</v>
      </c>
      <c r="C14" s="39"/>
      <c r="D14" s="39"/>
      <c r="E14" s="39"/>
      <c r="F14" s="39"/>
      <c r="G14" s="39"/>
      <c r="H14" s="99" t="n">
        <v>0.2</v>
      </c>
      <c r="I14" s="41" t="n">
        <f aca="false">((I12+I13)*0.58333*H14)</f>
        <v>167.707375</v>
      </c>
    </row>
    <row r="15" customFormat="false" ht="13.8" hidden="false" customHeight="false" outlineLevel="0" collapsed="false">
      <c r="A15" s="38" t="s">
        <v>16</v>
      </c>
      <c r="B15" s="39" t="s">
        <v>183</v>
      </c>
      <c r="C15" s="39"/>
      <c r="D15" s="39"/>
      <c r="E15" s="39"/>
      <c r="F15" s="39"/>
      <c r="G15" s="100" t="n">
        <v>1.2</v>
      </c>
      <c r="H15" s="101" t="n">
        <f aca="false">1/12</f>
        <v>0.0833333333333333</v>
      </c>
      <c r="I15" s="41" t="n">
        <f aca="false">(I12+I13)*G15*H15</f>
        <v>143.75</v>
      </c>
    </row>
    <row r="16" customFormat="false" ht="13.8" hidden="false" customHeight="false" outlineLevel="0" collapsed="false">
      <c r="A16" s="34" t="s">
        <v>41</v>
      </c>
      <c r="B16" s="34"/>
      <c r="C16" s="34"/>
      <c r="D16" s="34"/>
      <c r="E16" s="34"/>
      <c r="F16" s="34"/>
      <c r="G16" s="34"/>
      <c r="H16" s="34"/>
      <c r="I16" s="43" t="n">
        <f aca="false">SUM(I12:I15)</f>
        <v>1748.957375</v>
      </c>
    </row>
    <row r="17" customFormat="false" ht="13.8" hidden="false" customHeight="false" outlineLevel="0" collapsed="false">
      <c r="A17" s="38" t="s">
        <v>55</v>
      </c>
      <c r="B17" s="39" t="s">
        <v>169</v>
      </c>
      <c r="C17" s="39"/>
      <c r="D17" s="39"/>
      <c r="E17" s="39"/>
      <c r="F17" s="39"/>
      <c r="G17" s="39"/>
      <c r="H17" s="89" t="n">
        <v>15</v>
      </c>
      <c r="I17" s="41" t="n">
        <f aca="false">(I16)/220*1.5*H17</f>
        <v>178.870640625</v>
      </c>
    </row>
    <row r="18" customFormat="false" ht="13.8" hidden="false" customHeight="false" outlineLevel="0" collapsed="false">
      <c r="A18" s="34" t="s">
        <v>170</v>
      </c>
      <c r="B18" s="34"/>
      <c r="C18" s="34"/>
      <c r="D18" s="34"/>
      <c r="E18" s="34"/>
      <c r="F18" s="34"/>
      <c r="G18" s="34"/>
      <c r="H18" s="34"/>
      <c r="I18" s="43" t="n">
        <f aca="false">I17+I16</f>
        <v>1927.828015625</v>
      </c>
    </row>
    <row r="19" customFormat="false" ht="12.8" hidden="false" customHeight="false" outlineLevel="0" collapsed="false">
      <c r="A19" s="90" t="s">
        <v>171</v>
      </c>
      <c r="B19" s="90"/>
      <c r="C19" s="90"/>
      <c r="D19" s="90"/>
      <c r="E19" s="90"/>
      <c r="F19" s="90"/>
      <c r="G19" s="90"/>
      <c r="H19" s="90"/>
      <c r="I19" s="90"/>
    </row>
    <row r="20" customFormat="false" ht="13.8" hidden="false" customHeight="false" outlineLevel="0" collapsed="false">
      <c r="A20" s="91"/>
      <c r="B20" s="91"/>
      <c r="C20" s="91"/>
      <c r="D20" s="91"/>
      <c r="E20" s="91"/>
      <c r="F20" s="91"/>
      <c r="G20" s="91"/>
      <c r="H20" s="91"/>
      <c r="I20" s="91"/>
    </row>
    <row r="21" customFormat="false" ht="13.8" hidden="false" customHeight="false" outlineLevel="0" collapsed="false">
      <c r="A21" s="45" t="s">
        <v>42</v>
      </c>
      <c r="B21" s="45"/>
      <c r="C21" s="45"/>
      <c r="D21" s="45"/>
      <c r="E21" s="45"/>
      <c r="F21" s="45"/>
      <c r="G21" s="45"/>
      <c r="H21" s="45"/>
      <c r="I21" s="45"/>
    </row>
    <row r="22" customFormat="false" ht="13.8" hidden="false" customHeight="false" outlineLevel="0" collapsed="false">
      <c r="A22" s="35" t="s">
        <v>43</v>
      </c>
      <c r="B22" s="35"/>
      <c r="C22" s="35"/>
      <c r="D22" s="35"/>
      <c r="E22" s="35"/>
      <c r="F22" s="35"/>
      <c r="G22" s="35"/>
      <c r="H22" s="35" t="s">
        <v>38</v>
      </c>
      <c r="I22" s="35" t="s">
        <v>39</v>
      </c>
    </row>
    <row r="23" customFormat="false" ht="13.8" hidden="false" customHeight="false" outlineLevel="0" collapsed="false">
      <c r="A23" s="35" t="s">
        <v>8</v>
      </c>
      <c r="B23" s="46" t="s">
        <v>44</v>
      </c>
      <c r="C23" s="46"/>
      <c r="D23" s="46"/>
      <c r="E23" s="46"/>
      <c r="F23" s="46"/>
      <c r="G23" s="46"/>
      <c r="H23" s="47" t="n">
        <f aca="false">1/12</f>
        <v>0.0833333333333333</v>
      </c>
      <c r="I23" s="48" t="n">
        <f aca="false">$I$16*H23</f>
        <v>145.746447916667</v>
      </c>
    </row>
    <row r="24" customFormat="false" ht="13.8" hidden="false" customHeight="false" outlineLevel="0" collapsed="false">
      <c r="A24" s="35" t="s">
        <v>10</v>
      </c>
      <c r="B24" s="46" t="s">
        <v>45</v>
      </c>
      <c r="C24" s="46"/>
      <c r="D24" s="46"/>
      <c r="E24" s="46"/>
      <c r="F24" s="46"/>
      <c r="G24" s="46"/>
      <c r="H24" s="49" t="n">
        <v>0.121</v>
      </c>
      <c r="I24" s="48" t="n">
        <f aca="false">$I$16*H24</f>
        <v>211.623842375</v>
      </c>
    </row>
    <row r="25" customFormat="false" ht="13.8" hidden="true" customHeight="false" outlineLevel="0" collapsed="false">
      <c r="A25" s="35" t="s">
        <v>13</v>
      </c>
      <c r="B25" s="52" t="s">
        <v>164</v>
      </c>
      <c r="C25" s="52"/>
      <c r="D25" s="52"/>
      <c r="E25" s="52"/>
      <c r="F25" s="52"/>
      <c r="G25" s="52"/>
      <c r="H25" s="49"/>
      <c r="I25" s="48" t="n">
        <f aca="false">$I$16*H25</f>
        <v>0</v>
      </c>
    </row>
    <row r="26" customFormat="false" ht="13.8" hidden="false" customHeight="false" outlineLevel="0" collapsed="false">
      <c r="A26" s="35" t="s">
        <v>46</v>
      </c>
      <c r="B26" s="35"/>
      <c r="C26" s="35"/>
      <c r="D26" s="35"/>
      <c r="E26" s="35"/>
      <c r="F26" s="35"/>
      <c r="G26" s="35"/>
      <c r="H26" s="53" t="n">
        <f aca="false">TRUNC(SUM(H23:H24),4)</f>
        <v>0.2043</v>
      </c>
      <c r="I26" s="54" t="n">
        <f aca="false">(SUM(I23:I25))</f>
        <v>357.370290291667</v>
      </c>
    </row>
    <row r="27" customFormat="false" ht="13.8" hidden="false" customHeight="false" outlineLevel="0" collapsed="false">
      <c r="A27" s="92"/>
      <c r="B27" s="92"/>
      <c r="C27" s="92"/>
      <c r="D27" s="92"/>
      <c r="E27" s="92"/>
      <c r="F27" s="92"/>
      <c r="G27" s="92"/>
      <c r="H27" s="92"/>
      <c r="I27" s="92"/>
    </row>
    <row r="28" customFormat="false" ht="13.8" hidden="false" customHeight="false" outlineLevel="0" collapsed="false">
      <c r="A28" s="55" t="s">
        <v>47</v>
      </c>
      <c r="B28" s="55"/>
      <c r="C28" s="55"/>
      <c r="D28" s="55"/>
      <c r="E28" s="55"/>
      <c r="F28" s="55"/>
      <c r="G28" s="55"/>
      <c r="H28" s="55" t="s">
        <v>38</v>
      </c>
      <c r="I28" s="55" t="s">
        <v>39</v>
      </c>
    </row>
    <row r="29" customFormat="false" ht="13.8" hidden="false" customHeight="false" outlineLevel="0" collapsed="false">
      <c r="A29" s="35" t="s">
        <v>8</v>
      </c>
      <c r="B29" s="46" t="s">
        <v>48</v>
      </c>
      <c r="C29" s="46"/>
      <c r="D29" s="46"/>
      <c r="E29" s="46"/>
      <c r="F29" s="46"/>
      <c r="G29" s="46"/>
      <c r="H29" s="47" t="n">
        <v>0.2</v>
      </c>
      <c r="I29" s="48" t="n">
        <f aca="false">($I$16+$I$26)*H29</f>
        <v>421.265533058333</v>
      </c>
    </row>
    <row r="30" customFormat="false" ht="13.8" hidden="false" customHeight="false" outlineLevel="0" collapsed="false">
      <c r="A30" s="35" t="s">
        <v>10</v>
      </c>
      <c r="B30" s="46" t="s">
        <v>49</v>
      </c>
      <c r="C30" s="46"/>
      <c r="D30" s="46"/>
      <c r="E30" s="46"/>
      <c r="F30" s="46"/>
      <c r="G30" s="46"/>
      <c r="H30" s="47" t="n">
        <v>0.025</v>
      </c>
      <c r="I30" s="48" t="n">
        <f aca="false">($I$16+$I$26)*H30</f>
        <v>52.6581916322917</v>
      </c>
    </row>
    <row r="31" customFormat="false" ht="13.8" hidden="false" customHeight="false" outlineLevel="0" collapsed="false">
      <c r="A31" s="32" t="s">
        <v>13</v>
      </c>
      <c r="B31" s="46" t="s">
        <v>50</v>
      </c>
      <c r="C31" s="46"/>
      <c r="D31" s="46"/>
      <c r="E31" s="46"/>
      <c r="F31" s="46"/>
      <c r="G31" s="46"/>
      <c r="H31" s="56" t="n">
        <f aca="false">G32</f>
        <v>0.03</v>
      </c>
      <c r="I31" s="57" t="n">
        <f aca="false">($I$16+$I$26)*H31</f>
        <v>63.18982995875</v>
      </c>
    </row>
    <row r="32" customFormat="false" ht="13.8" hidden="false" customHeight="false" outlineLevel="0" collapsed="false">
      <c r="A32" s="32"/>
      <c r="B32" s="46" t="s">
        <v>51</v>
      </c>
      <c r="C32" s="59" t="n">
        <v>0.03</v>
      </c>
      <c r="D32" s="46" t="s">
        <v>52</v>
      </c>
      <c r="E32" s="60" t="n">
        <v>1</v>
      </c>
      <c r="F32" s="61" t="s">
        <v>53</v>
      </c>
      <c r="G32" s="47" t="n">
        <f aca="false">E32*C32</f>
        <v>0.03</v>
      </c>
      <c r="H32" s="56"/>
      <c r="I32" s="57"/>
    </row>
    <row r="33" customFormat="false" ht="13.8" hidden="false" customHeight="false" outlineLevel="0" collapsed="false">
      <c r="A33" s="35" t="s">
        <v>16</v>
      </c>
      <c r="B33" s="46" t="s">
        <v>54</v>
      </c>
      <c r="C33" s="46"/>
      <c r="D33" s="46"/>
      <c r="E33" s="46"/>
      <c r="F33" s="46"/>
      <c r="G33" s="46"/>
      <c r="H33" s="47" t="n">
        <v>0.015</v>
      </c>
      <c r="I33" s="48" t="n">
        <f aca="false">($I$16+$I$26)*H33</f>
        <v>31.594914979375</v>
      </c>
    </row>
    <row r="34" customFormat="false" ht="13.8" hidden="false" customHeight="false" outlineLevel="0" collapsed="false">
      <c r="A34" s="35" t="s">
        <v>55</v>
      </c>
      <c r="B34" s="46" t="s">
        <v>56</v>
      </c>
      <c r="C34" s="46"/>
      <c r="D34" s="46"/>
      <c r="E34" s="46"/>
      <c r="F34" s="46"/>
      <c r="G34" s="46"/>
      <c r="H34" s="47" t="n">
        <v>0.01</v>
      </c>
      <c r="I34" s="48" t="n">
        <f aca="false">($I$16+$I$26)*H34</f>
        <v>21.0632766529167</v>
      </c>
    </row>
    <row r="35" customFormat="false" ht="13.8" hidden="false" customHeight="false" outlineLevel="0" collapsed="false">
      <c r="A35" s="35" t="s">
        <v>57</v>
      </c>
      <c r="B35" s="46" t="s">
        <v>58</v>
      </c>
      <c r="C35" s="46"/>
      <c r="D35" s="46"/>
      <c r="E35" s="46"/>
      <c r="F35" s="46"/>
      <c r="G35" s="46"/>
      <c r="H35" s="47" t="n">
        <v>0.006</v>
      </c>
      <c r="I35" s="48" t="n">
        <f aca="false">($I$16+$I$26)*H35</f>
        <v>12.63796599175</v>
      </c>
    </row>
    <row r="36" customFormat="false" ht="13.8" hidden="false" customHeight="false" outlineLevel="0" collapsed="false">
      <c r="A36" s="35" t="s">
        <v>59</v>
      </c>
      <c r="B36" s="46" t="s">
        <v>60</v>
      </c>
      <c r="C36" s="46"/>
      <c r="D36" s="46"/>
      <c r="E36" s="46"/>
      <c r="F36" s="46"/>
      <c r="G36" s="46"/>
      <c r="H36" s="47" t="n">
        <v>0.002</v>
      </c>
      <c r="I36" s="48" t="n">
        <f aca="false">($I$16+$I$26)*H36</f>
        <v>4.21265533058333</v>
      </c>
    </row>
    <row r="37" customFormat="false" ht="13.8" hidden="false" customHeight="false" outlineLevel="0" collapsed="false">
      <c r="A37" s="35" t="s">
        <v>61</v>
      </c>
      <c r="B37" s="46" t="s">
        <v>62</v>
      </c>
      <c r="C37" s="46"/>
      <c r="D37" s="46"/>
      <c r="E37" s="46"/>
      <c r="F37" s="46"/>
      <c r="G37" s="46"/>
      <c r="H37" s="47" t="n">
        <v>0.08</v>
      </c>
      <c r="I37" s="48" t="n">
        <f aca="false">($I$16+$I$26)*H37</f>
        <v>168.506213223333</v>
      </c>
    </row>
    <row r="38" customFormat="false" ht="13.8" hidden="false" customHeight="false" outlineLevel="0" collapsed="false">
      <c r="A38" s="35" t="s">
        <v>63</v>
      </c>
      <c r="B38" s="35"/>
      <c r="C38" s="35"/>
      <c r="D38" s="35"/>
      <c r="E38" s="35"/>
      <c r="F38" s="35"/>
      <c r="G38" s="35"/>
      <c r="H38" s="53" t="n">
        <f aca="false">SUM(H29:H37)</f>
        <v>0.368</v>
      </c>
      <c r="I38" s="54" t="n">
        <f aca="false">SUM(I29:I37)</f>
        <v>775.128580827333</v>
      </c>
    </row>
    <row r="39" customFormat="false" ht="13.8" hidden="false" customHeight="false" outlineLevel="0" collapsed="false">
      <c r="A39" s="93"/>
      <c r="B39" s="93"/>
      <c r="C39" s="93"/>
      <c r="D39" s="93"/>
      <c r="E39" s="93"/>
      <c r="F39" s="93"/>
      <c r="G39" s="93"/>
      <c r="H39" s="93"/>
      <c r="I39" s="93"/>
    </row>
    <row r="40" customFormat="false" ht="13.8" hidden="false" customHeight="false" outlineLevel="0" collapsed="false">
      <c r="A40" s="55" t="s">
        <v>64</v>
      </c>
      <c r="B40" s="55"/>
      <c r="C40" s="55"/>
      <c r="D40" s="55"/>
      <c r="E40" s="55"/>
      <c r="F40" s="55"/>
      <c r="G40" s="55"/>
      <c r="H40" s="63"/>
      <c r="I40" s="55" t="s">
        <v>39</v>
      </c>
    </row>
    <row r="41" customFormat="false" ht="13.8" hidden="false" customHeight="false" outlineLevel="0" collapsed="false">
      <c r="A41" s="32" t="s">
        <v>8</v>
      </c>
      <c r="B41" s="64" t="s">
        <v>65</v>
      </c>
      <c r="C41" s="64"/>
      <c r="D41" s="64"/>
      <c r="E41" s="64"/>
      <c r="F41" s="64" t="s">
        <v>66</v>
      </c>
      <c r="G41" s="64"/>
      <c r="H41" s="61" t="n">
        <v>2</v>
      </c>
      <c r="I41" s="57" t="n">
        <f aca="false">IF(ROUND((H42*15*2)-(I12*0.5*0.06),2)&lt;0,0,ROUND((H42*15*2)-(I12*0.5*0.06),2))</f>
        <v>70.15</v>
      </c>
    </row>
    <row r="42" customFormat="false" ht="13.8" hidden="false" customHeight="false" outlineLevel="0" collapsed="false">
      <c r="A42" s="32"/>
      <c r="B42" s="64"/>
      <c r="C42" s="64"/>
      <c r="D42" s="64"/>
      <c r="E42" s="64"/>
      <c r="F42" s="64" t="s">
        <v>67</v>
      </c>
      <c r="G42" s="64"/>
      <c r="H42" s="65" t="n">
        <v>3.75</v>
      </c>
      <c r="I42" s="57"/>
    </row>
    <row r="43" customFormat="false" ht="13.8" hidden="false" customHeight="false" outlineLevel="0" collapsed="false">
      <c r="A43" s="35" t="s">
        <v>10</v>
      </c>
      <c r="B43" s="52" t="s">
        <v>68</v>
      </c>
      <c r="C43" s="52"/>
      <c r="D43" s="52"/>
      <c r="E43" s="52"/>
      <c r="F43" s="52"/>
      <c r="G43" s="52"/>
      <c r="H43" s="65" t="n">
        <v>400</v>
      </c>
      <c r="I43" s="41" t="n">
        <f aca="false">H43-(H43*0.2)+(((H43)-(H43*0.2))/12)</f>
        <v>346.666666666667</v>
      </c>
    </row>
    <row r="44" customFormat="false" ht="13.8" hidden="false" customHeight="false" outlineLevel="0" collapsed="false">
      <c r="A44" s="35" t="s">
        <v>13</v>
      </c>
      <c r="B44" s="66" t="s">
        <v>69</v>
      </c>
      <c r="C44" s="66"/>
      <c r="D44" s="66"/>
      <c r="E44" s="66"/>
      <c r="F44" s="66"/>
      <c r="G44" s="66"/>
      <c r="H44" s="61" t="s">
        <v>70</v>
      </c>
      <c r="I44" s="41" t="n">
        <v>60</v>
      </c>
    </row>
    <row r="45" customFormat="false" ht="13.8" hidden="false" customHeight="false" outlineLevel="0" collapsed="false">
      <c r="A45" s="35" t="s">
        <v>16</v>
      </c>
      <c r="B45" s="66" t="s">
        <v>71</v>
      </c>
      <c r="C45" s="66"/>
      <c r="D45" s="66"/>
      <c r="E45" s="66"/>
      <c r="F45" s="66"/>
      <c r="G45" s="66"/>
      <c r="H45" s="61" t="s">
        <v>70</v>
      </c>
      <c r="I45" s="41" t="n">
        <v>0</v>
      </c>
    </row>
    <row r="46" customFormat="false" ht="13.8" hidden="false" customHeight="false" outlineLevel="0" collapsed="false">
      <c r="A46" s="35" t="s">
        <v>55</v>
      </c>
      <c r="B46" s="66" t="s">
        <v>72</v>
      </c>
      <c r="C46" s="66"/>
      <c r="D46" s="66"/>
      <c r="E46" s="66"/>
      <c r="F46" s="66"/>
      <c r="G46" s="66"/>
      <c r="H46" s="61" t="s">
        <v>70</v>
      </c>
      <c r="I46" s="41" t="n">
        <v>20</v>
      </c>
    </row>
    <row r="47" customFormat="false" ht="13.8" hidden="false" customHeight="false" outlineLevel="0" collapsed="false">
      <c r="A47" s="35" t="s">
        <v>57</v>
      </c>
      <c r="B47" s="66" t="s">
        <v>73</v>
      </c>
      <c r="C47" s="66"/>
      <c r="D47" s="66"/>
      <c r="E47" s="66"/>
      <c r="F47" s="66"/>
      <c r="G47" s="66"/>
      <c r="H47" s="61" t="s">
        <v>70</v>
      </c>
      <c r="I47" s="41" t="n">
        <v>20</v>
      </c>
    </row>
    <row r="48" customFormat="false" ht="13.8" hidden="false" customHeight="false" outlineLevel="0" collapsed="false">
      <c r="A48" s="35" t="s">
        <v>74</v>
      </c>
      <c r="B48" s="35"/>
      <c r="C48" s="35"/>
      <c r="D48" s="35"/>
      <c r="E48" s="35"/>
      <c r="F48" s="35"/>
      <c r="G48" s="35"/>
      <c r="H48" s="35"/>
      <c r="I48" s="54" t="n">
        <f aca="false">SUM(I41:I47)</f>
        <v>516.816666666667</v>
      </c>
    </row>
    <row r="49" customFormat="false" ht="13.8" hidden="false" customHeight="false" outlineLevel="0" collapsed="false">
      <c r="A49" s="94" t="s">
        <v>184</v>
      </c>
      <c r="B49" s="94"/>
      <c r="C49" s="94"/>
      <c r="D49" s="94"/>
      <c r="E49" s="94"/>
      <c r="F49" s="94"/>
      <c r="G49" s="94"/>
      <c r="H49" s="94"/>
      <c r="I49" s="94"/>
    </row>
    <row r="50" customFormat="false" ht="13.8" hidden="false" customHeight="false" outlineLevel="0" collapsed="false">
      <c r="A50" s="67" t="s">
        <v>75</v>
      </c>
      <c r="B50" s="67"/>
      <c r="C50" s="67"/>
      <c r="D50" s="67"/>
      <c r="E50" s="67"/>
      <c r="F50" s="67"/>
      <c r="G50" s="67"/>
      <c r="H50" s="67"/>
      <c r="I50" s="67"/>
    </row>
    <row r="51" customFormat="false" ht="13.8" hidden="false" customHeight="false" outlineLevel="0" collapsed="false">
      <c r="A51" s="35" t="s">
        <v>76</v>
      </c>
      <c r="B51" s="35"/>
      <c r="C51" s="35"/>
      <c r="D51" s="35"/>
      <c r="E51" s="35"/>
      <c r="F51" s="35"/>
      <c r="G51" s="35"/>
      <c r="H51" s="35"/>
      <c r="I51" s="35" t="s">
        <v>39</v>
      </c>
    </row>
    <row r="52" customFormat="false" ht="13.8" hidden="false" customHeight="false" outlineLevel="0" collapsed="false">
      <c r="A52" s="35" t="s">
        <v>77</v>
      </c>
      <c r="B52" s="46" t="s">
        <v>78</v>
      </c>
      <c r="C52" s="46"/>
      <c r="D52" s="46"/>
      <c r="E52" s="46"/>
      <c r="F52" s="46"/>
      <c r="G52" s="46"/>
      <c r="H52" s="46"/>
      <c r="I52" s="48" t="n">
        <f aca="false">I26</f>
        <v>357.370290291667</v>
      </c>
    </row>
    <row r="53" customFormat="false" ht="13.8" hidden="false" customHeight="false" outlineLevel="0" collapsed="false">
      <c r="A53" s="35" t="s">
        <v>79</v>
      </c>
      <c r="B53" s="46" t="s">
        <v>80</v>
      </c>
      <c r="C53" s="46"/>
      <c r="D53" s="46"/>
      <c r="E53" s="46"/>
      <c r="F53" s="46"/>
      <c r="G53" s="46"/>
      <c r="H53" s="46"/>
      <c r="I53" s="48" t="n">
        <f aca="false">I38</f>
        <v>775.128580827333</v>
      </c>
    </row>
    <row r="54" customFormat="false" ht="13.8" hidden="false" customHeight="false" outlineLevel="0" collapsed="false">
      <c r="A54" s="35" t="s">
        <v>81</v>
      </c>
      <c r="B54" s="46" t="s">
        <v>82</v>
      </c>
      <c r="C54" s="46"/>
      <c r="D54" s="46"/>
      <c r="E54" s="46"/>
      <c r="F54" s="46"/>
      <c r="G54" s="46"/>
      <c r="H54" s="46"/>
      <c r="I54" s="48" t="n">
        <f aca="false">I48</f>
        <v>516.816666666667</v>
      </c>
    </row>
    <row r="55" customFormat="false" ht="13.8" hidden="false" customHeight="false" outlineLevel="0" collapsed="false">
      <c r="A55" s="35" t="s">
        <v>83</v>
      </c>
      <c r="B55" s="35"/>
      <c r="C55" s="35"/>
      <c r="D55" s="35"/>
      <c r="E55" s="35"/>
      <c r="F55" s="35"/>
      <c r="G55" s="35"/>
      <c r="H55" s="35"/>
      <c r="I55" s="54" t="n">
        <f aca="false">SUM(I52:I54)</f>
        <v>1649.31553778567</v>
      </c>
    </row>
    <row r="56" customFormat="false" ht="13.8" hidden="false" customHeight="false" outlineLevel="0" collapsed="false">
      <c r="A56" s="68"/>
      <c r="B56" s="68"/>
      <c r="C56" s="68"/>
      <c r="D56" s="68"/>
      <c r="E56" s="68"/>
      <c r="F56" s="68"/>
      <c r="G56" s="68"/>
      <c r="H56" s="68"/>
      <c r="I56" s="68"/>
    </row>
    <row r="57" customFormat="false" ht="13.8" hidden="false" customHeight="false" outlineLevel="0" collapsed="false">
      <c r="A57" s="45" t="s">
        <v>84</v>
      </c>
      <c r="B57" s="45"/>
      <c r="C57" s="45"/>
      <c r="D57" s="45"/>
      <c r="E57" s="45"/>
      <c r="F57" s="45"/>
      <c r="G57" s="45"/>
      <c r="H57" s="45"/>
      <c r="I57" s="45"/>
    </row>
    <row r="58" customFormat="false" ht="13.8" hidden="false" customHeight="false" outlineLevel="0" collapsed="false">
      <c r="A58" s="32" t="s">
        <v>85</v>
      </c>
      <c r="B58" s="32" t="s">
        <v>86</v>
      </c>
      <c r="C58" s="32"/>
      <c r="D58" s="32"/>
      <c r="E58" s="32"/>
      <c r="F58" s="32"/>
      <c r="G58" s="32"/>
      <c r="H58" s="35" t="s">
        <v>38</v>
      </c>
      <c r="I58" s="35" t="s">
        <v>39</v>
      </c>
    </row>
    <row r="59" customFormat="false" ht="13.8" hidden="false" customHeight="false" outlineLevel="0" collapsed="false">
      <c r="A59" s="35" t="s">
        <v>8</v>
      </c>
      <c r="B59" s="46" t="s">
        <v>87</v>
      </c>
      <c r="C59" s="46"/>
      <c r="D59" s="46"/>
      <c r="E59" s="46"/>
      <c r="F59" s="46"/>
      <c r="G59" s="46"/>
      <c r="H59" s="47"/>
      <c r="I59" s="48" t="n">
        <f aca="false">((I16+I55)-(I29+I30+I31+I33+I34+I35+I36))/12</f>
        <v>232.637545431806</v>
      </c>
    </row>
    <row r="60" customFormat="false" ht="13.8" hidden="false" customHeight="false" outlineLevel="0" collapsed="false">
      <c r="A60" s="35" t="s">
        <v>10</v>
      </c>
      <c r="B60" s="46" t="s">
        <v>88</v>
      </c>
      <c r="C60" s="46"/>
      <c r="D60" s="46"/>
      <c r="E60" s="46"/>
      <c r="F60" s="46"/>
      <c r="G60" s="46"/>
      <c r="H60" s="47"/>
      <c r="I60" s="48" t="n">
        <f aca="false">I37*50%</f>
        <v>84.2531066116667</v>
      </c>
    </row>
    <row r="61" customFormat="false" ht="13.8" hidden="false" customHeight="false" outlineLevel="0" collapsed="false">
      <c r="A61" s="35" t="s">
        <v>13</v>
      </c>
      <c r="B61" s="46" t="s">
        <v>89</v>
      </c>
      <c r="C61" s="46"/>
      <c r="D61" s="46"/>
      <c r="E61" s="46"/>
      <c r="F61" s="46"/>
      <c r="G61" s="46"/>
      <c r="H61" s="47" t="n">
        <v>0.7209</v>
      </c>
      <c r="I61" s="48" t="n">
        <f aca="false">(I60+I59)*H61</f>
        <v>228.446471058139</v>
      </c>
    </row>
    <row r="62" customFormat="false" ht="13.8" hidden="false" customHeight="false" outlineLevel="0" collapsed="false">
      <c r="A62" s="32" t="s">
        <v>90</v>
      </c>
      <c r="B62" s="32"/>
      <c r="C62" s="32"/>
      <c r="D62" s="32"/>
      <c r="E62" s="32"/>
      <c r="F62" s="32"/>
      <c r="G62" s="32"/>
      <c r="H62" s="47"/>
      <c r="I62" s="54" t="n">
        <f aca="false">I61</f>
        <v>228.446471058139</v>
      </c>
    </row>
    <row r="63" customFormat="false" ht="13.8" hidden="false" customHeight="false" outlineLevel="0" collapsed="false">
      <c r="A63" s="32"/>
      <c r="B63" s="32"/>
      <c r="C63" s="32"/>
      <c r="D63" s="32"/>
      <c r="E63" s="32"/>
      <c r="F63" s="32"/>
      <c r="G63" s="32"/>
      <c r="H63" s="32"/>
      <c r="I63" s="32"/>
    </row>
    <row r="64" customFormat="false" ht="13.8" hidden="false" customHeight="false" outlineLevel="0" collapsed="false">
      <c r="A64" s="32" t="s">
        <v>91</v>
      </c>
      <c r="B64" s="32" t="s">
        <v>86</v>
      </c>
      <c r="C64" s="32"/>
      <c r="D64" s="32"/>
      <c r="E64" s="32"/>
      <c r="F64" s="32"/>
      <c r="G64" s="32"/>
      <c r="H64" s="35" t="s">
        <v>38</v>
      </c>
      <c r="I64" s="35" t="s">
        <v>39</v>
      </c>
    </row>
    <row r="65" customFormat="false" ht="13.8" hidden="false" customHeight="false" outlineLevel="0" collapsed="false">
      <c r="A65" s="35" t="s">
        <v>8</v>
      </c>
      <c r="B65" s="46" t="s">
        <v>92</v>
      </c>
      <c r="C65" s="46"/>
      <c r="D65" s="46"/>
      <c r="E65" s="46"/>
      <c r="F65" s="46"/>
      <c r="G65" s="46"/>
      <c r="H65" s="47"/>
      <c r="I65" s="48" t="n">
        <f aca="false">(I16+I55)/12</f>
        <v>283.189409398806</v>
      </c>
    </row>
    <row r="66" customFormat="false" ht="13.8" hidden="false" customHeight="false" outlineLevel="0" collapsed="false">
      <c r="A66" s="35" t="s">
        <v>10</v>
      </c>
      <c r="B66" s="46" t="s">
        <v>93</v>
      </c>
      <c r="C66" s="46"/>
      <c r="D66" s="46"/>
      <c r="E66" s="46"/>
      <c r="F66" s="46"/>
      <c r="G66" s="46"/>
      <c r="H66" s="47"/>
      <c r="I66" s="48" t="n">
        <f aca="false">I37*50%</f>
        <v>84.2531066116667</v>
      </c>
    </row>
    <row r="67" customFormat="false" ht="13.8" hidden="false" customHeight="false" outlineLevel="0" collapsed="false">
      <c r="A67" s="35" t="s">
        <v>13</v>
      </c>
      <c r="B67" s="46" t="s">
        <v>94</v>
      </c>
      <c r="C67" s="46"/>
      <c r="D67" s="46"/>
      <c r="E67" s="46"/>
      <c r="F67" s="46"/>
      <c r="G67" s="46"/>
      <c r="H67" s="47" t="n">
        <v>0.0801</v>
      </c>
      <c r="I67" s="48" t="n">
        <f aca="false">(I66+I65)*H67</f>
        <v>29.4321455324388</v>
      </c>
    </row>
    <row r="68" customFormat="false" ht="13.8" hidden="false" customHeight="false" outlineLevel="0" collapsed="false">
      <c r="A68" s="32" t="s">
        <v>95</v>
      </c>
      <c r="B68" s="32"/>
      <c r="C68" s="32"/>
      <c r="D68" s="32"/>
      <c r="E68" s="32"/>
      <c r="F68" s="32"/>
      <c r="G68" s="32"/>
      <c r="H68" s="47"/>
      <c r="I68" s="54" t="n">
        <f aca="false">I67</f>
        <v>29.4321455324388</v>
      </c>
    </row>
    <row r="69" customFormat="false" ht="13.8" hidden="false" customHeight="false" outlineLevel="0" collapsed="false">
      <c r="A69" s="32"/>
      <c r="B69" s="32"/>
      <c r="C69" s="32"/>
      <c r="D69" s="32"/>
      <c r="E69" s="32"/>
      <c r="F69" s="32"/>
      <c r="G69" s="32"/>
      <c r="H69" s="32"/>
      <c r="I69" s="32"/>
    </row>
    <row r="70" customFormat="false" ht="13.8" hidden="false" customHeight="false" outlineLevel="0" collapsed="false">
      <c r="A70" s="32" t="s">
        <v>96</v>
      </c>
      <c r="B70" s="32" t="s">
        <v>86</v>
      </c>
      <c r="C70" s="32"/>
      <c r="D70" s="32"/>
      <c r="E70" s="32"/>
      <c r="F70" s="32"/>
      <c r="G70" s="32"/>
      <c r="H70" s="35" t="s">
        <v>38</v>
      </c>
      <c r="I70" s="35" t="s">
        <v>39</v>
      </c>
    </row>
    <row r="71" customFormat="false" ht="13.8" hidden="false" customHeight="false" outlineLevel="0" collapsed="false">
      <c r="A71" s="35" t="s">
        <v>8</v>
      </c>
      <c r="B71" s="46" t="s">
        <v>97</v>
      </c>
      <c r="C71" s="46"/>
      <c r="D71" s="46"/>
      <c r="E71" s="46"/>
      <c r="F71" s="46"/>
      <c r="G71" s="46"/>
      <c r="H71" s="47"/>
      <c r="I71" s="48" t="n">
        <f aca="false">-(I23+I24+I25)</f>
        <v>-357.370290291667</v>
      </c>
    </row>
    <row r="72" customFormat="false" ht="13.8" hidden="false" customHeight="false" outlineLevel="0" collapsed="false">
      <c r="A72" s="35" t="s">
        <v>10</v>
      </c>
      <c r="B72" s="46" t="s">
        <v>98</v>
      </c>
      <c r="C72" s="46"/>
      <c r="D72" s="46"/>
      <c r="E72" s="46"/>
      <c r="F72" s="46"/>
      <c r="G72" s="46"/>
      <c r="H72" s="47" t="n">
        <v>0.0328</v>
      </c>
      <c r="I72" s="48" t="n">
        <f aca="false">I71*H72</f>
        <v>-11.7217455215667</v>
      </c>
    </row>
    <row r="73" customFormat="false" ht="13.8" hidden="false" customHeight="false" outlineLevel="0" collapsed="false">
      <c r="A73" s="32" t="s">
        <v>99</v>
      </c>
      <c r="B73" s="32"/>
      <c r="C73" s="32"/>
      <c r="D73" s="32"/>
      <c r="E73" s="32"/>
      <c r="F73" s="32"/>
      <c r="G73" s="32"/>
      <c r="H73" s="47"/>
      <c r="I73" s="48" t="n">
        <f aca="false">I72</f>
        <v>-11.7217455215667</v>
      </c>
    </row>
    <row r="74" customFormat="false" ht="13.8" hidden="false" customHeight="false" outlineLevel="0" collapsed="false">
      <c r="A74" s="32"/>
      <c r="B74" s="32"/>
      <c r="C74" s="32"/>
      <c r="D74" s="32"/>
      <c r="E74" s="32"/>
      <c r="F74" s="32"/>
      <c r="G74" s="32"/>
      <c r="H74" s="32"/>
      <c r="I74" s="32"/>
    </row>
    <row r="75" customFormat="false" ht="13.8" hidden="false" customHeight="false" outlineLevel="0" collapsed="false">
      <c r="A75" s="67" t="s">
        <v>100</v>
      </c>
      <c r="B75" s="67"/>
      <c r="C75" s="67"/>
      <c r="D75" s="67"/>
      <c r="E75" s="67"/>
      <c r="F75" s="67"/>
      <c r="G75" s="67"/>
      <c r="H75" s="67"/>
      <c r="I75" s="67"/>
    </row>
    <row r="76" customFormat="false" ht="13.8" hidden="false" customHeight="false" outlineLevel="0" collapsed="false">
      <c r="A76" s="32" t="s">
        <v>101</v>
      </c>
      <c r="B76" s="32"/>
      <c r="C76" s="32"/>
      <c r="D76" s="32"/>
      <c r="E76" s="32"/>
      <c r="F76" s="32"/>
      <c r="G76" s="32"/>
      <c r="H76" s="32"/>
      <c r="I76" s="37" t="s">
        <v>39</v>
      </c>
    </row>
    <row r="77" customFormat="false" ht="13.8" hidden="false" customHeight="false" outlineLevel="0" collapsed="false">
      <c r="A77" s="35" t="s">
        <v>102</v>
      </c>
      <c r="B77" s="52" t="s">
        <v>89</v>
      </c>
      <c r="C77" s="52"/>
      <c r="D77" s="52"/>
      <c r="E77" s="52"/>
      <c r="F77" s="52"/>
      <c r="G77" s="52"/>
      <c r="H77" s="52"/>
      <c r="I77" s="54" t="n">
        <f aca="false">I62</f>
        <v>228.446471058139</v>
      </c>
    </row>
    <row r="78" customFormat="false" ht="13.8" hidden="false" customHeight="false" outlineLevel="0" collapsed="false">
      <c r="A78" s="35" t="s">
        <v>103</v>
      </c>
      <c r="B78" s="52" t="s">
        <v>94</v>
      </c>
      <c r="C78" s="52"/>
      <c r="D78" s="52"/>
      <c r="E78" s="52"/>
      <c r="F78" s="52"/>
      <c r="G78" s="52"/>
      <c r="H78" s="52"/>
      <c r="I78" s="54" t="n">
        <f aca="false">I68</f>
        <v>29.4321455324388</v>
      </c>
    </row>
    <row r="79" customFormat="false" ht="13.8" hidden="false" customHeight="false" outlineLevel="0" collapsed="false">
      <c r="A79" s="35" t="s">
        <v>104</v>
      </c>
      <c r="B79" s="52" t="s">
        <v>98</v>
      </c>
      <c r="C79" s="52"/>
      <c r="D79" s="52"/>
      <c r="E79" s="52"/>
      <c r="F79" s="52"/>
      <c r="G79" s="52"/>
      <c r="H79" s="52"/>
      <c r="I79" s="54" t="n">
        <f aca="false">I73</f>
        <v>-11.7217455215667</v>
      </c>
    </row>
    <row r="80" customFormat="false" ht="13.8" hidden="false" customHeight="false" outlineLevel="0" collapsed="false">
      <c r="A80" s="35" t="s">
        <v>105</v>
      </c>
      <c r="B80" s="35"/>
      <c r="C80" s="35"/>
      <c r="D80" s="35"/>
      <c r="E80" s="35"/>
      <c r="F80" s="35"/>
      <c r="G80" s="35"/>
      <c r="H80" s="35"/>
      <c r="I80" s="54" t="n">
        <f aca="false">SUM(I77:I79)</f>
        <v>246.156871069011</v>
      </c>
    </row>
    <row r="81" customFormat="false" ht="13.8" hidden="false" customHeight="false" outlineLevel="0" collapsed="false">
      <c r="A81" s="69"/>
      <c r="B81" s="69"/>
      <c r="C81" s="69"/>
      <c r="D81" s="69"/>
      <c r="E81" s="69"/>
      <c r="F81" s="69"/>
      <c r="G81" s="69"/>
      <c r="H81" s="69"/>
      <c r="I81" s="69"/>
    </row>
    <row r="82" customFormat="false" ht="13.8" hidden="false" customHeight="false" outlineLevel="0" collapsed="false">
      <c r="A82" s="45" t="s">
        <v>106</v>
      </c>
      <c r="B82" s="45"/>
      <c r="C82" s="45"/>
      <c r="D82" s="45"/>
      <c r="E82" s="45"/>
      <c r="F82" s="45"/>
      <c r="G82" s="45"/>
      <c r="H82" s="45"/>
      <c r="I82" s="45"/>
    </row>
    <row r="83" customFormat="false" ht="13.8" hidden="false" customHeight="false" outlineLevel="0" collapsed="false">
      <c r="A83" s="35" t="s">
        <v>172</v>
      </c>
      <c r="B83" s="35"/>
      <c r="C83" s="35"/>
      <c r="D83" s="35"/>
      <c r="E83" s="35"/>
      <c r="F83" s="35"/>
      <c r="G83" s="35"/>
      <c r="H83" s="35"/>
      <c r="I83" s="35"/>
    </row>
    <row r="84" customFormat="false" ht="12.8" hidden="false" customHeight="true" outlineLevel="0" collapsed="false">
      <c r="A84" s="32" t="s">
        <v>107</v>
      </c>
      <c r="B84" s="32"/>
      <c r="C84" s="32"/>
      <c r="D84" s="32"/>
      <c r="E84" s="32"/>
      <c r="F84" s="32"/>
      <c r="G84" s="32"/>
      <c r="H84" s="70" t="s">
        <v>108</v>
      </c>
      <c r="I84" s="70" t="s">
        <v>109</v>
      </c>
    </row>
    <row r="85" customFormat="false" ht="12.8" hidden="false" customHeight="false" outlineLevel="0" collapsed="false">
      <c r="A85" s="32"/>
      <c r="B85" s="32"/>
      <c r="C85" s="32"/>
      <c r="D85" s="32"/>
      <c r="E85" s="32"/>
      <c r="F85" s="32"/>
      <c r="G85" s="32"/>
      <c r="H85" s="70"/>
      <c r="I85" s="70"/>
    </row>
    <row r="86" customFormat="false" ht="13.8" hidden="false" customHeight="false" outlineLevel="0" collapsed="false">
      <c r="A86" s="35" t="s">
        <v>8</v>
      </c>
      <c r="B86" s="46" t="s">
        <v>110</v>
      </c>
      <c r="C86" s="46"/>
      <c r="D86" s="46"/>
      <c r="E86" s="46"/>
      <c r="F86" s="46"/>
      <c r="G86" s="46"/>
      <c r="H86" s="47" t="n">
        <v>0.5</v>
      </c>
      <c r="I86" s="71" t="n">
        <f aca="false">(1*30)*H86</f>
        <v>15</v>
      </c>
    </row>
    <row r="87" customFormat="false" ht="13.8" hidden="false" customHeight="false" outlineLevel="0" collapsed="false">
      <c r="A87" s="35" t="s">
        <v>10</v>
      </c>
      <c r="B87" s="46" t="s">
        <v>111</v>
      </c>
      <c r="C87" s="46"/>
      <c r="D87" s="46"/>
      <c r="E87" s="46"/>
      <c r="F87" s="46"/>
      <c r="G87" s="46"/>
      <c r="H87" s="47" t="n">
        <v>1</v>
      </c>
      <c r="I87" s="71" t="n">
        <f aca="false">(1*1)*H87</f>
        <v>1</v>
      </c>
    </row>
    <row r="88" customFormat="false" ht="13.8" hidden="false" customHeight="false" outlineLevel="0" collapsed="false">
      <c r="A88" s="35" t="s">
        <v>13</v>
      </c>
      <c r="B88" s="46" t="s">
        <v>112</v>
      </c>
      <c r="C88" s="46"/>
      <c r="D88" s="46"/>
      <c r="E88" s="46"/>
      <c r="F88" s="46"/>
      <c r="G88" s="46"/>
      <c r="H88" s="47" t="n">
        <v>0.5</v>
      </c>
      <c r="I88" s="71" t="n">
        <f aca="false">(0.0922*15)*H88</f>
        <v>0.6915</v>
      </c>
    </row>
    <row r="89" customFormat="false" ht="13.8" hidden="false" customHeight="false" outlineLevel="0" collapsed="false">
      <c r="A89" s="35" t="s">
        <v>16</v>
      </c>
      <c r="B89" s="46" t="s">
        <v>113</v>
      </c>
      <c r="C89" s="46"/>
      <c r="D89" s="46"/>
      <c r="E89" s="46"/>
      <c r="F89" s="46"/>
      <c r="G89" s="46"/>
      <c r="H89" s="47" t="n">
        <v>0.5</v>
      </c>
      <c r="I89" s="71" t="n">
        <f aca="false">(1*5)*H89</f>
        <v>2.5</v>
      </c>
    </row>
    <row r="90" customFormat="false" ht="13.8" hidden="false" customHeight="false" outlineLevel="0" collapsed="false">
      <c r="A90" s="35" t="s">
        <v>55</v>
      </c>
      <c r="B90" s="46" t="s">
        <v>114</v>
      </c>
      <c r="C90" s="46"/>
      <c r="D90" s="46"/>
      <c r="E90" s="46"/>
      <c r="F90" s="46"/>
      <c r="G90" s="46"/>
      <c r="H90" s="47" t="n">
        <v>1</v>
      </c>
      <c r="I90" s="71" t="n">
        <f aca="false">(0.1522*2)*H90</f>
        <v>0.3044</v>
      </c>
    </row>
    <row r="91" customFormat="false" ht="13.8" hidden="false" customHeight="false" outlineLevel="0" collapsed="false">
      <c r="A91" s="35" t="s">
        <v>57</v>
      </c>
      <c r="B91" s="46" t="s">
        <v>115</v>
      </c>
      <c r="C91" s="46"/>
      <c r="D91" s="46"/>
      <c r="E91" s="46"/>
      <c r="F91" s="46"/>
      <c r="G91" s="46"/>
      <c r="H91" s="47" t="n">
        <v>0.5</v>
      </c>
      <c r="I91" s="71" t="n">
        <f aca="false">(0.0309*2)*H91</f>
        <v>0.0309</v>
      </c>
    </row>
    <row r="92" customFormat="false" ht="13.8" hidden="false" customHeight="false" outlineLevel="0" collapsed="false">
      <c r="A92" s="35" t="s">
        <v>59</v>
      </c>
      <c r="B92" s="46" t="s">
        <v>116</v>
      </c>
      <c r="C92" s="46"/>
      <c r="D92" s="46"/>
      <c r="E92" s="46"/>
      <c r="F92" s="46"/>
      <c r="G92" s="46"/>
      <c r="H92" s="47" t="n">
        <v>0.5</v>
      </c>
      <c r="I92" s="71" t="n">
        <f aca="false">(0.0123*3)*H92</f>
        <v>0.01845</v>
      </c>
    </row>
    <row r="93" customFormat="false" ht="13.8" hidden="false" customHeight="false" outlineLevel="0" collapsed="false">
      <c r="A93" s="35" t="s">
        <v>61</v>
      </c>
      <c r="B93" s="46" t="s">
        <v>117</v>
      </c>
      <c r="C93" s="46"/>
      <c r="D93" s="46"/>
      <c r="E93" s="46"/>
      <c r="F93" s="46"/>
      <c r="G93" s="46"/>
      <c r="H93" s="47" t="n">
        <v>1</v>
      </c>
      <c r="I93" s="71" t="n">
        <f aca="false">(0.02*1)*H93</f>
        <v>0.02</v>
      </c>
    </row>
    <row r="94" customFormat="false" ht="13.8" hidden="false" customHeight="false" outlineLevel="0" collapsed="false">
      <c r="A94" s="35" t="s">
        <v>118</v>
      </c>
      <c r="B94" s="46" t="s">
        <v>119</v>
      </c>
      <c r="C94" s="46"/>
      <c r="D94" s="46"/>
      <c r="E94" s="46"/>
      <c r="F94" s="46"/>
      <c r="G94" s="46"/>
      <c r="H94" s="47" t="n">
        <v>1</v>
      </c>
      <c r="I94" s="71" t="n">
        <f aca="false">(0.004*1)*H94</f>
        <v>0.004</v>
      </c>
    </row>
    <row r="95" customFormat="false" ht="13.8" hidden="false" customHeight="false" outlineLevel="0" collapsed="false">
      <c r="A95" s="35" t="s">
        <v>120</v>
      </c>
      <c r="B95" s="46" t="s">
        <v>121</v>
      </c>
      <c r="C95" s="46"/>
      <c r="D95" s="46"/>
      <c r="E95" s="46"/>
      <c r="F95" s="46"/>
      <c r="G95" s="46"/>
      <c r="H95" s="47" t="n">
        <v>0.5</v>
      </c>
      <c r="I95" s="71" t="n">
        <f aca="false">(0.0321*20)*H95</f>
        <v>0.321</v>
      </c>
    </row>
    <row r="96" customFormat="false" ht="13.8" hidden="false" customHeight="false" outlineLevel="0" collapsed="false">
      <c r="A96" s="35" t="s">
        <v>122</v>
      </c>
      <c r="B96" s="46" t="s">
        <v>123</v>
      </c>
      <c r="C96" s="46"/>
      <c r="D96" s="46"/>
      <c r="E96" s="46"/>
      <c r="F96" s="46"/>
      <c r="G96" s="46"/>
      <c r="H96" s="47" t="n">
        <v>0.5</v>
      </c>
      <c r="I96" s="71" t="n">
        <f aca="false">(0.0028*180)*H96</f>
        <v>0.252</v>
      </c>
    </row>
    <row r="97" customFormat="false" ht="13.8" hidden="false" customHeight="false" outlineLevel="0" collapsed="false">
      <c r="A97" s="35" t="s">
        <v>124</v>
      </c>
      <c r="B97" s="46" t="s">
        <v>125</v>
      </c>
      <c r="C97" s="46"/>
      <c r="D97" s="46"/>
      <c r="E97" s="46"/>
      <c r="F97" s="46"/>
      <c r="G97" s="46"/>
      <c r="H97" s="47" t="n">
        <v>1</v>
      </c>
      <c r="I97" s="71" t="n">
        <f aca="false">(0.002*6)*H97</f>
        <v>0.012</v>
      </c>
    </row>
    <row r="98" customFormat="false" ht="13.8" hidden="false" customHeight="false" outlineLevel="0" collapsed="false">
      <c r="A98" s="35" t="s">
        <v>126</v>
      </c>
      <c r="B98" s="35"/>
      <c r="C98" s="35"/>
      <c r="D98" s="35"/>
      <c r="E98" s="35"/>
      <c r="F98" s="35"/>
      <c r="G98" s="35"/>
      <c r="H98" s="53"/>
      <c r="I98" s="72" t="n">
        <f aca="false">(SUM(I86:I97))</f>
        <v>20.15425</v>
      </c>
    </row>
    <row r="99" customFormat="false" ht="13.8" hidden="false" customHeight="false" outlineLevel="0" collapsed="false">
      <c r="A99" s="32"/>
      <c r="B99" s="32"/>
      <c r="C99" s="32"/>
      <c r="D99" s="32"/>
      <c r="E99" s="32"/>
      <c r="F99" s="32"/>
      <c r="G99" s="32"/>
      <c r="H99" s="32"/>
      <c r="I99" s="32"/>
    </row>
    <row r="100" customFormat="false" ht="13.8" hidden="false" customHeight="false" outlineLevel="0" collapsed="false">
      <c r="A100" s="32" t="s">
        <v>127</v>
      </c>
      <c r="B100" s="32"/>
      <c r="C100" s="32"/>
      <c r="D100" s="32"/>
      <c r="E100" s="32"/>
      <c r="F100" s="32"/>
      <c r="G100" s="35" t="s">
        <v>128</v>
      </c>
      <c r="H100" s="35" t="s">
        <v>129</v>
      </c>
      <c r="I100" s="35" t="s">
        <v>39</v>
      </c>
    </row>
    <row r="101" customFormat="false" ht="13.8" hidden="false" customHeight="false" outlineLevel="0" collapsed="false">
      <c r="A101" s="35" t="s">
        <v>8</v>
      </c>
      <c r="B101" s="52" t="s">
        <v>185</v>
      </c>
      <c r="C101" s="52"/>
      <c r="D101" s="52"/>
      <c r="E101" s="52"/>
      <c r="F101" s="52"/>
      <c r="G101" s="95" t="n">
        <f aca="false">I16+I55+I80</f>
        <v>3644.42978385468</v>
      </c>
      <c r="H101" s="61" t="n">
        <v>30</v>
      </c>
      <c r="I101" s="48" t="n">
        <f aca="false">G101/H101</f>
        <v>121.480992795156</v>
      </c>
    </row>
    <row r="102" customFormat="false" ht="13.8" hidden="false" customHeight="false" outlineLevel="0" collapsed="false">
      <c r="A102" s="35" t="s">
        <v>130</v>
      </c>
      <c r="B102" s="35"/>
      <c r="C102" s="35"/>
      <c r="D102" s="35"/>
      <c r="E102" s="35"/>
      <c r="F102" s="35"/>
      <c r="G102" s="35"/>
      <c r="H102" s="35"/>
      <c r="I102" s="54" t="n">
        <f aca="false">SUM(I101)</f>
        <v>121.480992795156</v>
      </c>
    </row>
    <row r="103" customFormat="false" ht="13.8" hidden="false" customHeight="false" outlineLevel="0" collapsed="false">
      <c r="A103" s="74"/>
      <c r="B103" s="74"/>
      <c r="C103" s="74"/>
      <c r="D103" s="74"/>
      <c r="E103" s="74"/>
      <c r="F103" s="74"/>
      <c r="G103" s="74"/>
      <c r="H103" s="74"/>
      <c r="I103" s="74"/>
    </row>
    <row r="104" customFormat="false" ht="13.8" hidden="false" customHeight="false" outlineLevel="0" collapsed="false">
      <c r="A104" s="74" t="s">
        <v>131</v>
      </c>
      <c r="B104" s="74"/>
      <c r="C104" s="74"/>
      <c r="D104" s="74"/>
      <c r="E104" s="74"/>
      <c r="F104" s="74"/>
      <c r="G104" s="74"/>
      <c r="H104" s="74"/>
      <c r="I104" s="74"/>
    </row>
    <row r="105" customFormat="false" ht="13.8" hidden="false" customHeight="false" outlineLevel="0" collapsed="false">
      <c r="A105" s="75"/>
      <c r="B105" s="75" t="s">
        <v>132</v>
      </c>
      <c r="C105" s="75"/>
      <c r="D105" s="75"/>
      <c r="E105" s="75"/>
      <c r="F105" s="76" t="s">
        <v>130</v>
      </c>
      <c r="G105" s="96" t="s">
        <v>109</v>
      </c>
      <c r="H105" s="76" t="s">
        <v>133</v>
      </c>
      <c r="I105" s="76" t="s">
        <v>39</v>
      </c>
    </row>
    <row r="106" customFormat="false" ht="13.8" hidden="false" customHeight="false" outlineLevel="0" collapsed="false">
      <c r="A106" s="75" t="s">
        <v>8</v>
      </c>
      <c r="B106" s="77" t="s">
        <v>185</v>
      </c>
      <c r="C106" s="77"/>
      <c r="D106" s="77"/>
      <c r="E106" s="77"/>
      <c r="F106" s="78" t="n">
        <f aca="false">I102</f>
        <v>121.480992795156</v>
      </c>
      <c r="G106" s="79" t="n">
        <f aca="false">I98</f>
        <v>20.15425</v>
      </c>
      <c r="H106" s="78" t="n">
        <f aca="false">G106*F106</f>
        <v>2448.35829904177</v>
      </c>
      <c r="I106" s="78" t="n">
        <f aca="false">H106/12</f>
        <v>204.029858253481</v>
      </c>
    </row>
    <row r="107" customFormat="false" ht="13.8" hidden="false" customHeight="false" outlineLevel="0" collapsed="false">
      <c r="A107" s="75"/>
      <c r="B107" s="75" t="s">
        <v>134</v>
      </c>
      <c r="C107" s="75"/>
      <c r="D107" s="75"/>
      <c r="E107" s="75"/>
      <c r="F107" s="75"/>
      <c r="G107" s="75"/>
      <c r="H107" s="75"/>
      <c r="I107" s="80" t="n">
        <f aca="false">I106</f>
        <v>204.029858253481</v>
      </c>
    </row>
    <row r="108" customFormat="false" ht="13.8" hidden="false" customHeight="false" outlineLevel="0" collapsed="false">
      <c r="A108" s="73"/>
      <c r="B108" s="73"/>
      <c r="C108" s="73"/>
      <c r="D108" s="73"/>
      <c r="E108" s="73"/>
      <c r="F108" s="73"/>
      <c r="G108" s="73"/>
      <c r="H108" s="73"/>
      <c r="I108" s="73"/>
    </row>
    <row r="109" customFormat="false" ht="13.8" hidden="false" customHeight="false" outlineLevel="0" collapsed="false">
      <c r="A109" s="35" t="s">
        <v>174</v>
      </c>
      <c r="B109" s="35"/>
      <c r="C109" s="35"/>
      <c r="D109" s="35"/>
      <c r="E109" s="35"/>
      <c r="F109" s="35"/>
      <c r="G109" s="35"/>
      <c r="H109" s="35" t="s">
        <v>38</v>
      </c>
      <c r="I109" s="35" t="s">
        <v>39</v>
      </c>
    </row>
    <row r="110" customFormat="false" ht="13.8" hidden="false" customHeight="false" outlineLevel="0" collapsed="false">
      <c r="A110" s="35" t="s">
        <v>8</v>
      </c>
      <c r="B110" s="46" t="s">
        <v>175</v>
      </c>
      <c r="C110" s="46"/>
      <c r="D110" s="46"/>
      <c r="E110" s="46"/>
      <c r="F110" s="46"/>
      <c r="G110" s="46"/>
      <c r="H110" s="47" t="n">
        <v>0</v>
      </c>
      <c r="I110" s="48" t="n">
        <f aca="false">$I$16*H110</f>
        <v>0</v>
      </c>
    </row>
    <row r="111" customFormat="false" ht="13.8" hidden="false" customHeight="false" outlineLevel="0" collapsed="false">
      <c r="A111" s="35" t="s">
        <v>176</v>
      </c>
      <c r="B111" s="35"/>
      <c r="C111" s="35"/>
      <c r="D111" s="35"/>
      <c r="E111" s="35"/>
      <c r="F111" s="35"/>
      <c r="G111" s="35"/>
      <c r="H111" s="53" t="n">
        <f aca="false">TRUNC(SUM(H110),4)</f>
        <v>0</v>
      </c>
      <c r="I111" s="54" t="n">
        <f aca="false">SUM(I110)</f>
        <v>0</v>
      </c>
    </row>
    <row r="112" customFormat="false" ht="13.8" hidden="false" customHeight="false" outlineLevel="0" collapsed="false">
      <c r="A112" s="81"/>
      <c r="B112" s="81"/>
      <c r="C112" s="81"/>
      <c r="D112" s="81"/>
      <c r="E112" s="81"/>
      <c r="F112" s="81"/>
      <c r="G112" s="81"/>
      <c r="H112" s="81"/>
      <c r="I112" s="81"/>
    </row>
    <row r="113" customFormat="false" ht="13.8" hidden="false" customHeight="false" outlineLevel="0" collapsed="false">
      <c r="A113" s="67" t="s">
        <v>135</v>
      </c>
      <c r="B113" s="67"/>
      <c r="C113" s="67"/>
      <c r="D113" s="67"/>
      <c r="E113" s="67"/>
      <c r="F113" s="67"/>
      <c r="G113" s="67"/>
      <c r="H113" s="67"/>
      <c r="I113" s="67"/>
    </row>
    <row r="114" customFormat="false" ht="13.8" hidden="false" customHeight="false" outlineLevel="0" collapsed="false">
      <c r="A114" s="35" t="s">
        <v>136</v>
      </c>
      <c r="B114" s="35"/>
      <c r="C114" s="35"/>
      <c r="D114" s="35"/>
      <c r="E114" s="35"/>
      <c r="F114" s="35"/>
      <c r="G114" s="35"/>
      <c r="H114" s="35"/>
      <c r="I114" s="35" t="s">
        <v>39</v>
      </c>
    </row>
    <row r="115" customFormat="false" ht="13.8" hidden="false" customHeight="false" outlineLevel="0" collapsed="false">
      <c r="A115" s="35" t="s">
        <v>137</v>
      </c>
      <c r="B115" s="46" t="s">
        <v>138</v>
      </c>
      <c r="C115" s="46"/>
      <c r="D115" s="46"/>
      <c r="E115" s="46"/>
      <c r="F115" s="46"/>
      <c r="G115" s="46"/>
      <c r="H115" s="46"/>
      <c r="I115" s="48" t="n">
        <f aca="false">I107</f>
        <v>204.029858253481</v>
      </c>
    </row>
    <row r="116" customFormat="false" ht="13.8" hidden="false" customHeight="false" outlineLevel="0" collapsed="false">
      <c r="A116" s="35" t="s">
        <v>177</v>
      </c>
      <c r="B116" s="46" t="s">
        <v>178</v>
      </c>
      <c r="C116" s="46"/>
      <c r="D116" s="46"/>
      <c r="E116" s="46"/>
      <c r="F116" s="46"/>
      <c r="G116" s="46"/>
      <c r="H116" s="46"/>
      <c r="I116" s="48" t="n">
        <f aca="false">I111</f>
        <v>0</v>
      </c>
    </row>
    <row r="117" customFormat="false" ht="13.8" hidden="false" customHeight="false" outlineLevel="0" collapsed="false">
      <c r="A117" s="35" t="s">
        <v>139</v>
      </c>
      <c r="B117" s="35"/>
      <c r="C117" s="35"/>
      <c r="D117" s="35"/>
      <c r="E117" s="35"/>
      <c r="F117" s="35"/>
      <c r="G117" s="35"/>
      <c r="H117" s="35"/>
      <c r="I117" s="54" t="n">
        <f aca="false">SUM(I115:I116)</f>
        <v>204.029858253481</v>
      </c>
    </row>
    <row r="118" customFormat="false" ht="13.8" hidden="false" customHeight="false" outlineLevel="0" collapsed="false">
      <c r="A118" s="68"/>
      <c r="B118" s="68"/>
      <c r="C118" s="68"/>
      <c r="D118" s="68"/>
      <c r="E118" s="68"/>
      <c r="F118" s="68"/>
      <c r="G118" s="68"/>
      <c r="H118" s="68"/>
      <c r="I118" s="68"/>
    </row>
    <row r="119" customFormat="false" ht="13.8" hidden="false" customHeight="false" outlineLevel="0" collapsed="false">
      <c r="A119" s="45" t="s">
        <v>140</v>
      </c>
      <c r="B119" s="45"/>
      <c r="C119" s="45"/>
      <c r="D119" s="45"/>
      <c r="E119" s="45"/>
      <c r="F119" s="45"/>
      <c r="G119" s="45"/>
      <c r="H119" s="45"/>
      <c r="I119" s="45"/>
    </row>
    <row r="120" customFormat="false" ht="13.8" hidden="false" customHeight="false" outlineLevel="0" collapsed="false">
      <c r="A120" s="35" t="n">
        <v>5</v>
      </c>
      <c r="B120" s="35" t="s">
        <v>141</v>
      </c>
      <c r="C120" s="35"/>
      <c r="D120" s="35"/>
      <c r="E120" s="35"/>
      <c r="F120" s="35"/>
      <c r="G120" s="35"/>
      <c r="H120" s="35"/>
      <c r="I120" s="35" t="s">
        <v>39</v>
      </c>
    </row>
    <row r="121" customFormat="false" ht="13.8" hidden="false" customHeight="false" outlineLevel="0" collapsed="false">
      <c r="A121" s="35" t="s">
        <v>8</v>
      </c>
      <c r="B121" s="66" t="s">
        <v>142</v>
      </c>
      <c r="C121" s="66"/>
      <c r="D121" s="66"/>
      <c r="E121" s="66"/>
      <c r="F121" s="66"/>
      <c r="G121" s="66"/>
      <c r="H121" s="61" t="s">
        <v>70</v>
      </c>
      <c r="I121" s="48" t="n">
        <f aca="false">Uniformes!G38</f>
        <v>42.3891666666667</v>
      </c>
    </row>
    <row r="122" customFormat="false" ht="13.8" hidden="false" customHeight="false" outlineLevel="0" collapsed="false">
      <c r="A122" s="35" t="s">
        <v>10</v>
      </c>
      <c r="B122" s="66" t="s">
        <v>143</v>
      </c>
      <c r="C122" s="66"/>
      <c r="D122" s="66"/>
      <c r="E122" s="66"/>
      <c r="F122" s="66"/>
      <c r="G122" s="66"/>
      <c r="H122" s="61" t="s">
        <v>70</v>
      </c>
      <c r="I122" s="48" t="n">
        <f aca="false">EPIs!G41</f>
        <v>44.1391666666667</v>
      </c>
    </row>
    <row r="123" customFormat="false" ht="13.8" hidden="false" customHeight="false" outlineLevel="0" collapsed="false">
      <c r="A123" s="83" t="s">
        <v>13</v>
      </c>
      <c r="B123" s="66" t="s">
        <v>144</v>
      </c>
      <c r="C123" s="66"/>
      <c r="D123" s="66"/>
      <c r="E123" s="66"/>
      <c r="F123" s="66"/>
      <c r="G123" s="66"/>
      <c r="H123" s="61" t="s">
        <v>70</v>
      </c>
      <c r="I123" s="48" t="n">
        <f aca="false">Materiais!G20</f>
        <v>4.64</v>
      </c>
    </row>
    <row r="124" customFormat="false" ht="13.8" hidden="false" customHeight="false" outlineLevel="0" collapsed="false">
      <c r="A124" s="83" t="s">
        <v>16</v>
      </c>
      <c r="B124" s="66" t="s">
        <v>145</v>
      </c>
      <c r="C124" s="66"/>
      <c r="D124" s="66"/>
      <c r="E124" s="66"/>
      <c r="F124" s="66"/>
      <c r="G124" s="66"/>
      <c r="H124" s="61" t="s">
        <v>70</v>
      </c>
      <c r="I124" s="48" t="n">
        <f aca="false">Equipamentos!J26</f>
        <v>1.00062222222222</v>
      </c>
    </row>
    <row r="125" customFormat="false" ht="13.8" hidden="false" customHeight="false" outlineLevel="0" collapsed="false">
      <c r="A125" s="83" t="s">
        <v>55</v>
      </c>
      <c r="B125" s="66" t="s">
        <v>146</v>
      </c>
      <c r="C125" s="66"/>
      <c r="D125" s="66"/>
      <c r="E125" s="66"/>
      <c r="F125" s="66"/>
      <c r="G125" s="66"/>
      <c r="H125" s="61" t="s">
        <v>70</v>
      </c>
      <c r="I125" s="48" t="n">
        <v>0</v>
      </c>
    </row>
    <row r="126" customFormat="false" ht="13.8" hidden="false" customHeight="false" outlineLevel="0" collapsed="false">
      <c r="A126" s="35" t="s">
        <v>147</v>
      </c>
      <c r="B126" s="35"/>
      <c r="C126" s="35"/>
      <c r="D126" s="35"/>
      <c r="E126" s="35"/>
      <c r="F126" s="35"/>
      <c r="G126" s="35"/>
      <c r="H126" s="53" t="s">
        <v>70</v>
      </c>
      <c r="I126" s="54" t="n">
        <f aca="false">SUM(I121:I125)</f>
        <v>92.1689555555556</v>
      </c>
    </row>
    <row r="127" customFormat="false" ht="13.8" hidden="false" customHeight="false" outlineLevel="0" collapsed="false">
      <c r="A127" s="68"/>
      <c r="B127" s="68"/>
      <c r="C127" s="68"/>
      <c r="D127" s="68"/>
      <c r="E127" s="68"/>
      <c r="F127" s="68"/>
      <c r="G127" s="68"/>
      <c r="H127" s="68"/>
      <c r="I127" s="68"/>
    </row>
    <row r="128" customFormat="false" ht="13.8" hidden="false" customHeight="false" outlineLevel="0" collapsed="false">
      <c r="A128" s="45" t="s">
        <v>148</v>
      </c>
      <c r="B128" s="45"/>
      <c r="C128" s="45"/>
      <c r="D128" s="45"/>
      <c r="E128" s="45"/>
      <c r="F128" s="45"/>
      <c r="G128" s="45"/>
      <c r="H128" s="45"/>
      <c r="I128" s="45"/>
    </row>
    <row r="129" customFormat="false" ht="13.8" hidden="false" customHeight="false" outlineLevel="0" collapsed="false">
      <c r="A129" s="35" t="n">
        <v>6</v>
      </c>
      <c r="B129" s="35" t="s">
        <v>149</v>
      </c>
      <c r="C129" s="35"/>
      <c r="D129" s="35"/>
      <c r="E129" s="35"/>
      <c r="F129" s="35"/>
      <c r="G129" s="35"/>
      <c r="H129" s="35" t="s">
        <v>38</v>
      </c>
      <c r="I129" s="35" t="s">
        <v>39</v>
      </c>
    </row>
    <row r="130" customFormat="false" ht="13.8" hidden="false" customHeight="false" outlineLevel="0" collapsed="false">
      <c r="A130" s="35" t="s">
        <v>8</v>
      </c>
      <c r="B130" s="46" t="s">
        <v>150</v>
      </c>
      <c r="C130" s="46"/>
      <c r="D130" s="46"/>
      <c r="E130" s="46"/>
      <c r="F130" s="46"/>
      <c r="G130" s="46"/>
      <c r="H130" s="47" t="n">
        <v>0.06</v>
      </c>
      <c r="I130" s="41" t="n">
        <f aca="false">H130*I145</f>
        <v>247.1694</v>
      </c>
    </row>
    <row r="131" customFormat="false" ht="13.8" hidden="false" customHeight="false" outlineLevel="0" collapsed="false">
      <c r="A131" s="35" t="s">
        <v>10</v>
      </c>
      <c r="B131" s="46" t="s">
        <v>151</v>
      </c>
      <c r="C131" s="46"/>
      <c r="D131" s="46"/>
      <c r="E131" s="46"/>
      <c r="F131" s="46"/>
      <c r="G131" s="46"/>
      <c r="H131" s="47" t="n">
        <v>0.0679</v>
      </c>
      <c r="I131" s="41" t="n">
        <f aca="false">(H131*(I130+I145))</f>
        <v>296.49617326</v>
      </c>
    </row>
    <row r="132" customFormat="false" ht="13.8" hidden="false" customHeight="false" outlineLevel="0" collapsed="false">
      <c r="A132" s="35" t="s">
        <v>13</v>
      </c>
      <c r="B132" s="32" t="s">
        <v>152</v>
      </c>
      <c r="C132" s="32"/>
      <c r="D132" s="32"/>
      <c r="E132" s="32" t="s">
        <v>128</v>
      </c>
      <c r="F132" s="32"/>
      <c r="G132" s="57" t="n">
        <f aca="false">(I145+I130+I131)</f>
        <v>4663.15557326</v>
      </c>
      <c r="H132" s="86" t="n">
        <f aca="false">SUM(H133:H135)</f>
        <v>0.1325</v>
      </c>
      <c r="I132" s="41"/>
    </row>
    <row r="133" customFormat="false" ht="13.8" hidden="false" customHeight="false" outlineLevel="0" collapsed="false">
      <c r="A133" s="35" t="s">
        <v>153</v>
      </c>
      <c r="B133" s="46" t="s">
        <v>154</v>
      </c>
      <c r="C133" s="46"/>
      <c r="D133" s="46"/>
      <c r="E133" s="46"/>
      <c r="F133" s="46"/>
      <c r="G133" s="46"/>
      <c r="H133" s="86" t="n">
        <v>0.0165</v>
      </c>
      <c r="I133" s="48" t="n">
        <f aca="false">($G$132/(1-$H$132)*H133)</f>
        <v>88.6940253127262</v>
      </c>
    </row>
    <row r="134" customFormat="false" ht="13.8" hidden="false" customHeight="false" outlineLevel="0" collapsed="false">
      <c r="A134" s="35" t="s">
        <v>155</v>
      </c>
      <c r="B134" s="46" t="s">
        <v>156</v>
      </c>
      <c r="C134" s="46"/>
      <c r="D134" s="46"/>
      <c r="E134" s="46"/>
      <c r="F134" s="46"/>
      <c r="G134" s="46"/>
      <c r="H134" s="86" t="n">
        <v>0.076</v>
      </c>
      <c r="I134" s="48" t="n">
        <f aca="false">($G$132/(1-$H$132)*H134)</f>
        <v>408.53005598589</v>
      </c>
    </row>
    <row r="135" customFormat="false" ht="13.8" hidden="false" customHeight="false" outlineLevel="0" collapsed="false">
      <c r="A135" s="35" t="s">
        <v>157</v>
      </c>
      <c r="B135" s="46" t="s">
        <v>158</v>
      </c>
      <c r="C135" s="46"/>
      <c r="D135" s="46"/>
      <c r="E135" s="46"/>
      <c r="F135" s="46"/>
      <c r="G135" s="46"/>
      <c r="H135" s="86" t="n">
        <v>0.04</v>
      </c>
      <c r="I135" s="48" t="n">
        <f aca="false">($G$132/(1-$H$132)*H135)</f>
        <v>215.015818939942</v>
      </c>
    </row>
    <row r="136" customFormat="false" ht="13.8" hidden="false" customHeight="false" outlineLevel="0" collapsed="false">
      <c r="A136" s="35" t="s">
        <v>159</v>
      </c>
      <c r="B136" s="35"/>
      <c r="C136" s="35"/>
      <c r="D136" s="35"/>
      <c r="E136" s="35"/>
      <c r="F136" s="35"/>
      <c r="G136" s="35"/>
      <c r="H136" s="86" t="n">
        <f aca="false">H130+H131+H133+H134+H135</f>
        <v>0.2604</v>
      </c>
      <c r="I136" s="54" t="n">
        <f aca="false">SUM(I130+I131+I133+I134+I135)</f>
        <v>1255.90547349856</v>
      </c>
    </row>
    <row r="137" customFormat="false" ht="13.8" hidden="false" customHeight="false" outlineLevel="0" collapsed="false">
      <c r="A137" s="97"/>
      <c r="B137" s="98"/>
      <c r="C137" s="98"/>
      <c r="D137" s="98"/>
      <c r="E137" s="98"/>
      <c r="F137" s="98"/>
      <c r="G137" s="98"/>
      <c r="H137" s="98"/>
      <c r="I137" s="98"/>
    </row>
    <row r="138" customFormat="false" ht="13.8" hidden="false" customHeight="false" outlineLevel="0" collapsed="false">
      <c r="A138" s="67" t="s">
        <v>179</v>
      </c>
      <c r="B138" s="67"/>
      <c r="C138" s="67"/>
      <c r="D138" s="67"/>
      <c r="E138" s="67"/>
      <c r="F138" s="67"/>
      <c r="G138" s="67"/>
      <c r="H138" s="67"/>
      <c r="I138" s="67"/>
    </row>
    <row r="139" customFormat="false" ht="13.8" hidden="false" customHeight="false" outlineLevel="0" collapsed="false">
      <c r="A139" s="35" t="s">
        <v>166</v>
      </c>
      <c r="B139" s="35"/>
      <c r="C139" s="35"/>
      <c r="D139" s="35"/>
      <c r="E139" s="35"/>
      <c r="F139" s="35"/>
      <c r="G139" s="35"/>
      <c r="H139" s="35"/>
      <c r="I139" s="35" t="s">
        <v>39</v>
      </c>
    </row>
    <row r="140" customFormat="false" ht="13.8" hidden="false" customHeight="false" outlineLevel="0" collapsed="false">
      <c r="A140" s="61" t="s">
        <v>8</v>
      </c>
      <c r="B140" s="46" t="s">
        <v>36</v>
      </c>
      <c r="C140" s="46"/>
      <c r="D140" s="46"/>
      <c r="E140" s="46"/>
      <c r="F140" s="46"/>
      <c r="G140" s="46"/>
      <c r="H140" s="46"/>
      <c r="I140" s="48" t="n">
        <f aca="false">I18</f>
        <v>1927.828015625</v>
      </c>
    </row>
    <row r="141" customFormat="false" ht="13.8" hidden="false" customHeight="false" outlineLevel="0" collapsed="false">
      <c r="A141" s="61" t="s">
        <v>10</v>
      </c>
      <c r="B141" s="46" t="str">
        <f aca="false">A21</f>
        <v>MÓDULO 2 – ENCARGOS E BENEFÍCIOS ANUAIS, MENSAIS E DIÁRIOS</v>
      </c>
      <c r="C141" s="46"/>
      <c r="D141" s="46"/>
      <c r="E141" s="46"/>
      <c r="F141" s="46"/>
      <c r="G141" s="46"/>
      <c r="H141" s="46"/>
      <c r="I141" s="48" t="n">
        <f aca="false">I55</f>
        <v>1649.31553778567</v>
      </c>
    </row>
    <row r="142" customFormat="false" ht="13.8" hidden="false" customHeight="false" outlineLevel="0" collapsed="false">
      <c r="A142" s="61" t="s">
        <v>13</v>
      </c>
      <c r="B142" s="46" t="str">
        <f aca="false">A57</f>
        <v>MÓDULO 3 – PROVISÃO PARA RESCISÃO</v>
      </c>
      <c r="C142" s="46"/>
      <c r="D142" s="46"/>
      <c r="E142" s="46"/>
      <c r="F142" s="46"/>
      <c r="G142" s="46"/>
      <c r="H142" s="46"/>
      <c r="I142" s="48" t="n">
        <f aca="false">I80</f>
        <v>246.156871069011</v>
      </c>
    </row>
    <row r="143" customFormat="false" ht="13.8" hidden="false" customHeight="false" outlineLevel="0" collapsed="false">
      <c r="A143" s="61" t="s">
        <v>16</v>
      </c>
      <c r="B143" s="46" t="str">
        <f aca="false">A82</f>
        <v>MÓDULO 4 – CUSTO DE REPOSIÇÃO DO PROFISSIONAL AUSENTE</v>
      </c>
      <c r="C143" s="46"/>
      <c r="D143" s="46"/>
      <c r="E143" s="46"/>
      <c r="F143" s="46"/>
      <c r="G143" s="46"/>
      <c r="H143" s="46"/>
      <c r="I143" s="48" t="n">
        <f aca="false">I117</f>
        <v>204.029858253481</v>
      </c>
    </row>
    <row r="144" customFormat="false" ht="13.8" hidden="false" customHeight="false" outlineLevel="0" collapsed="false">
      <c r="A144" s="61" t="s">
        <v>55</v>
      </c>
      <c r="B144" s="46" t="str">
        <f aca="false">A119</f>
        <v>MÓDULO 5 – INSUMOS DIVERSOS</v>
      </c>
      <c r="C144" s="46"/>
      <c r="D144" s="46"/>
      <c r="E144" s="46"/>
      <c r="F144" s="46"/>
      <c r="G144" s="46"/>
      <c r="H144" s="46"/>
      <c r="I144" s="48" t="n">
        <f aca="false">I126</f>
        <v>92.1689555555556</v>
      </c>
    </row>
    <row r="145" customFormat="false" ht="13.8" hidden="false" customHeight="false" outlineLevel="0" collapsed="false">
      <c r="A145" s="35"/>
      <c r="B145" s="35" t="s">
        <v>161</v>
      </c>
      <c r="C145" s="35"/>
      <c r="D145" s="35"/>
      <c r="E145" s="35"/>
      <c r="F145" s="35"/>
      <c r="G145" s="35"/>
      <c r="H145" s="35"/>
      <c r="I145" s="54" t="n">
        <f aca="false">ROUNDDOWN(SUM(I140:I144),2)</f>
        <v>4119.49</v>
      </c>
    </row>
    <row r="146" customFormat="false" ht="13.8" hidden="false" customHeight="false" outlineLevel="0" collapsed="false">
      <c r="A146" s="61" t="s">
        <v>57</v>
      </c>
      <c r="B146" s="46" t="str">
        <f aca="false">A128</f>
        <v>MÓDULO 6 – CUSTOS INDIRETOS, TRIBUTOS E LUCRO</v>
      </c>
      <c r="C146" s="46"/>
      <c r="D146" s="46"/>
      <c r="E146" s="46"/>
      <c r="F146" s="46"/>
      <c r="G146" s="46"/>
      <c r="H146" s="46"/>
      <c r="I146" s="48" t="n">
        <f aca="false">I136</f>
        <v>1255.90547349856</v>
      </c>
    </row>
    <row r="147" customFormat="false" ht="13.8" hidden="false" customHeight="false" outlineLevel="0" collapsed="false">
      <c r="A147" s="35" t="s">
        <v>162</v>
      </c>
      <c r="B147" s="35"/>
      <c r="C147" s="35"/>
      <c r="D147" s="35"/>
      <c r="E147" s="35"/>
      <c r="F147" s="35"/>
      <c r="G147" s="35"/>
      <c r="H147" s="35"/>
      <c r="I147" s="54" t="n">
        <f aca="false">SUM(I145:I146)</f>
        <v>5375.39547349856</v>
      </c>
    </row>
    <row r="148" customFormat="false" ht="13.8" hidden="false" customHeight="false" outlineLevel="0" collapsed="false">
      <c r="A148" s="35" t="s">
        <v>186</v>
      </c>
      <c r="B148" s="35"/>
      <c r="C148" s="35"/>
      <c r="D148" s="35"/>
      <c r="E148" s="35"/>
      <c r="F148" s="35"/>
      <c r="G148" s="35"/>
      <c r="H148" s="35"/>
      <c r="I148" s="54" t="n">
        <f aca="false">((I147*2))</f>
        <v>10750.7909469971</v>
      </c>
    </row>
  </sheetData>
  <mergeCells count="158">
    <mergeCell ref="A1:I1"/>
    <mergeCell ref="A2:I2"/>
    <mergeCell ref="A4:I4"/>
    <mergeCell ref="B5:G5"/>
    <mergeCell ref="H5:I5"/>
    <mergeCell ref="B6:G6"/>
    <mergeCell ref="H6:I6"/>
    <mergeCell ref="B7:G7"/>
    <mergeCell ref="H7:I7"/>
    <mergeCell ref="B8:G8"/>
    <mergeCell ref="H8:I8"/>
    <mergeCell ref="A9:I9"/>
    <mergeCell ref="A10:I10"/>
    <mergeCell ref="B11:G11"/>
    <mergeCell ref="B12:G12"/>
    <mergeCell ref="B13:G13"/>
    <mergeCell ref="B14:G14"/>
    <mergeCell ref="B15:F15"/>
    <mergeCell ref="A16:H16"/>
    <mergeCell ref="B17:G17"/>
    <mergeCell ref="A18:H18"/>
    <mergeCell ref="A19:I19"/>
    <mergeCell ref="A20:I20"/>
    <mergeCell ref="A21:I21"/>
    <mergeCell ref="A22:G22"/>
    <mergeCell ref="B23:G23"/>
    <mergeCell ref="B24:G24"/>
    <mergeCell ref="B25:G25"/>
    <mergeCell ref="A26:G26"/>
    <mergeCell ref="A27:I27"/>
    <mergeCell ref="A28:G28"/>
    <mergeCell ref="B29:G29"/>
    <mergeCell ref="B30:G30"/>
    <mergeCell ref="A31:A32"/>
    <mergeCell ref="B31:G31"/>
    <mergeCell ref="H31:H32"/>
    <mergeCell ref="I31:I32"/>
    <mergeCell ref="B33:G33"/>
    <mergeCell ref="B34:G34"/>
    <mergeCell ref="B35:G35"/>
    <mergeCell ref="B36:G36"/>
    <mergeCell ref="B37:G37"/>
    <mergeCell ref="A38:G38"/>
    <mergeCell ref="A39:I39"/>
    <mergeCell ref="A40:G40"/>
    <mergeCell ref="A41:A42"/>
    <mergeCell ref="B41:E42"/>
    <mergeCell ref="F41:G41"/>
    <mergeCell ref="I41:I42"/>
    <mergeCell ref="F42:G42"/>
    <mergeCell ref="B43:G43"/>
    <mergeCell ref="B44:G44"/>
    <mergeCell ref="B45:G45"/>
    <mergeCell ref="B46:G46"/>
    <mergeCell ref="B47:G47"/>
    <mergeCell ref="A48:H48"/>
    <mergeCell ref="A49:I49"/>
    <mergeCell ref="A50:I50"/>
    <mergeCell ref="A51:H51"/>
    <mergeCell ref="B52:H52"/>
    <mergeCell ref="B53:H53"/>
    <mergeCell ref="B54:H54"/>
    <mergeCell ref="A55:H55"/>
    <mergeCell ref="A56:I56"/>
    <mergeCell ref="A57:I57"/>
    <mergeCell ref="A58:G58"/>
    <mergeCell ref="B59:G59"/>
    <mergeCell ref="B60:G60"/>
    <mergeCell ref="B61:G61"/>
    <mergeCell ref="A62:G62"/>
    <mergeCell ref="A63:I63"/>
    <mergeCell ref="A64:G64"/>
    <mergeCell ref="B65:G65"/>
    <mergeCell ref="B66:G66"/>
    <mergeCell ref="B67:G67"/>
    <mergeCell ref="A68:G68"/>
    <mergeCell ref="A69:I69"/>
    <mergeCell ref="A70:G70"/>
    <mergeCell ref="B71:G71"/>
    <mergeCell ref="B72:G72"/>
    <mergeCell ref="A73:G73"/>
    <mergeCell ref="A74:I74"/>
    <mergeCell ref="A75:I75"/>
    <mergeCell ref="A76:H76"/>
    <mergeCell ref="B77:H77"/>
    <mergeCell ref="B78:H78"/>
    <mergeCell ref="B79:H79"/>
    <mergeCell ref="A80:H80"/>
    <mergeCell ref="A81:I81"/>
    <mergeCell ref="A82:I82"/>
    <mergeCell ref="A83:G83"/>
    <mergeCell ref="A84:G85"/>
    <mergeCell ref="H84:H85"/>
    <mergeCell ref="I84:I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A98:G98"/>
    <mergeCell ref="A99:I99"/>
    <mergeCell ref="A100:F100"/>
    <mergeCell ref="B101:F101"/>
    <mergeCell ref="A102:G102"/>
    <mergeCell ref="A103:I103"/>
    <mergeCell ref="A104:I104"/>
    <mergeCell ref="B105:E105"/>
    <mergeCell ref="B106:E106"/>
    <mergeCell ref="B107:H107"/>
    <mergeCell ref="A108:I108"/>
    <mergeCell ref="A109:G109"/>
    <mergeCell ref="B110:G110"/>
    <mergeCell ref="A111:G111"/>
    <mergeCell ref="A112:I112"/>
    <mergeCell ref="A113:I113"/>
    <mergeCell ref="A114:H114"/>
    <mergeCell ref="B115:H115"/>
    <mergeCell ref="B116:H116"/>
    <mergeCell ref="A117:H117"/>
    <mergeCell ref="A118:I118"/>
    <mergeCell ref="A119:I119"/>
    <mergeCell ref="B120:G120"/>
    <mergeCell ref="B121:G121"/>
    <mergeCell ref="B122:G122"/>
    <mergeCell ref="B123:G123"/>
    <mergeCell ref="B124:G124"/>
    <mergeCell ref="B125:G125"/>
    <mergeCell ref="A126:G126"/>
    <mergeCell ref="A127:I127"/>
    <mergeCell ref="A128:I128"/>
    <mergeCell ref="B129:G129"/>
    <mergeCell ref="B130:G130"/>
    <mergeCell ref="B131:G131"/>
    <mergeCell ref="B132:D132"/>
    <mergeCell ref="E132:F132"/>
    <mergeCell ref="B133:G133"/>
    <mergeCell ref="B134:G134"/>
    <mergeCell ref="B135:G135"/>
    <mergeCell ref="A136:G136"/>
    <mergeCell ref="B137:I137"/>
    <mergeCell ref="A138:I138"/>
    <mergeCell ref="A139:H139"/>
    <mergeCell ref="B140:H140"/>
    <mergeCell ref="B141:H141"/>
    <mergeCell ref="B142:H142"/>
    <mergeCell ref="B143:H143"/>
    <mergeCell ref="B144:H144"/>
    <mergeCell ref="B145:H145"/>
    <mergeCell ref="B146:H146"/>
    <mergeCell ref="A147:H147"/>
    <mergeCell ref="A148:H14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3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1" zoomScalePageLayoutView="100" workbookViewId="0">
      <selection pane="topLeft" activeCell="G14" activeCellId="0" sqref="G14"/>
    </sheetView>
  </sheetViews>
  <sheetFormatPr defaultRowHeight="12.8" zeroHeight="false" outlineLevelRow="0" outlineLevelCol="0"/>
  <cols>
    <col collapsed="false" customWidth="true" hidden="false" outlineLevel="0" max="1" min="1" style="20" width="3.11"/>
    <col collapsed="false" customWidth="false" hidden="false" outlineLevel="0" max="2" min="2" style="20" width="11.52"/>
    <col collapsed="false" customWidth="true" hidden="false" outlineLevel="0" max="3" min="3" style="20" width="67.93"/>
    <col collapsed="false" customWidth="false" hidden="false" outlineLevel="0" max="6" min="4" style="20" width="11.52"/>
    <col collapsed="false" customWidth="true" hidden="false" outlineLevel="0" max="7" min="7" style="20" width="14.67"/>
    <col collapsed="false" customWidth="false" hidden="false" outlineLevel="0" max="1025" min="8" style="20" width="11.52"/>
  </cols>
  <sheetData>
    <row r="1" customFormat="false" ht="8.4" hidden="false" customHeight="true" outlineLevel="0" collapsed="false"/>
    <row r="2" customFormat="false" ht="13.8" hidden="false" customHeight="false" outlineLevel="0" collapsed="false">
      <c r="B2" s="102" t="s">
        <v>187</v>
      </c>
      <c r="C2" s="102"/>
      <c r="D2" s="102"/>
      <c r="E2" s="102"/>
      <c r="F2" s="102"/>
      <c r="G2" s="102"/>
    </row>
    <row r="3" customFormat="false" ht="13.8" hidden="false" customHeight="false" outlineLevel="0" collapsed="false">
      <c r="B3" s="103"/>
      <c r="C3" s="103"/>
      <c r="D3" s="103"/>
      <c r="E3" s="103"/>
      <c r="F3" s="103"/>
      <c r="G3" s="103"/>
    </row>
    <row r="4" customFormat="false" ht="13.8" hidden="false" customHeight="false" outlineLevel="0" collapsed="false">
      <c r="B4" s="104" t="s">
        <v>188</v>
      </c>
      <c r="C4" s="104"/>
      <c r="D4" s="104"/>
      <c r="E4" s="104"/>
      <c r="F4" s="104"/>
      <c r="G4" s="104"/>
    </row>
    <row r="5" customFormat="false" ht="24.4" hidden="false" customHeight="false" outlineLevel="0" collapsed="false">
      <c r="B5" s="105" t="s">
        <v>189</v>
      </c>
      <c r="C5" s="106" t="s">
        <v>190</v>
      </c>
      <c r="D5" s="107" t="s">
        <v>191</v>
      </c>
      <c r="E5" s="107" t="s">
        <v>192</v>
      </c>
      <c r="F5" s="108" t="s">
        <v>193</v>
      </c>
      <c r="G5" s="108" t="s">
        <v>194</v>
      </c>
    </row>
    <row r="6" customFormat="false" ht="13.8" hidden="false" customHeight="false" outlineLevel="0" collapsed="false">
      <c r="B6" s="109" t="n">
        <v>1</v>
      </c>
      <c r="C6" s="110" t="s">
        <v>195</v>
      </c>
      <c r="D6" s="111" t="s">
        <v>196</v>
      </c>
      <c r="E6" s="111" t="n">
        <v>2</v>
      </c>
      <c r="F6" s="112" t="n">
        <v>54.65</v>
      </c>
      <c r="G6" s="113" t="n">
        <f aca="false">E6*F6</f>
        <v>109.3</v>
      </c>
    </row>
    <row r="7" customFormat="false" ht="13.8" hidden="false" customHeight="false" outlineLevel="0" collapsed="false">
      <c r="B7" s="109" t="n">
        <v>2</v>
      </c>
      <c r="C7" s="110" t="s">
        <v>197</v>
      </c>
      <c r="D7" s="111" t="s">
        <v>196</v>
      </c>
      <c r="E7" s="111" t="n">
        <v>3</v>
      </c>
      <c r="F7" s="114" t="n">
        <v>7.99</v>
      </c>
      <c r="G7" s="113" t="n">
        <f aca="false">E7*F7</f>
        <v>23.97</v>
      </c>
    </row>
    <row r="8" customFormat="false" ht="13.8" hidden="false" customHeight="false" outlineLevel="0" collapsed="false">
      <c r="B8" s="109" t="n">
        <v>3</v>
      </c>
      <c r="C8" s="110" t="s">
        <v>198</v>
      </c>
      <c r="D8" s="111" t="s">
        <v>196</v>
      </c>
      <c r="E8" s="111" t="n">
        <v>3</v>
      </c>
      <c r="F8" s="114" t="n">
        <v>39.83</v>
      </c>
      <c r="G8" s="113" t="n">
        <f aca="false">E8*F8</f>
        <v>119.49</v>
      </c>
    </row>
    <row r="9" customFormat="false" ht="13.8" hidden="false" customHeight="false" outlineLevel="0" collapsed="false">
      <c r="B9" s="109" t="n">
        <v>5</v>
      </c>
      <c r="C9" s="110" t="s">
        <v>199</v>
      </c>
      <c r="D9" s="111" t="s">
        <v>196</v>
      </c>
      <c r="E9" s="111" t="n">
        <v>1</v>
      </c>
      <c r="F9" s="114" t="n">
        <v>42.42</v>
      </c>
      <c r="G9" s="113" t="n">
        <f aca="false">E9*F9</f>
        <v>42.42</v>
      </c>
    </row>
    <row r="10" customFormat="false" ht="13.8" hidden="false" customHeight="false" outlineLevel="0" collapsed="false">
      <c r="B10" s="109" t="n">
        <v>6</v>
      </c>
      <c r="C10" s="110" t="s">
        <v>200</v>
      </c>
      <c r="D10" s="111" t="s">
        <v>196</v>
      </c>
      <c r="E10" s="111" t="n">
        <v>2</v>
      </c>
      <c r="F10" s="115" t="n">
        <v>69.93</v>
      </c>
      <c r="G10" s="113" t="n">
        <f aca="false">E10*F10</f>
        <v>139.86</v>
      </c>
    </row>
    <row r="11" customFormat="false" ht="13.8" hidden="false" customHeight="false" outlineLevel="0" collapsed="false">
      <c r="B11" s="109" t="n">
        <v>7</v>
      </c>
      <c r="C11" s="110" t="s">
        <v>201</v>
      </c>
      <c r="D11" s="111" t="s">
        <v>196</v>
      </c>
      <c r="E11" s="111" t="n">
        <v>1</v>
      </c>
      <c r="F11" s="115" t="n">
        <v>101.93</v>
      </c>
      <c r="G11" s="113" t="n">
        <f aca="false">E11*F11</f>
        <v>101.93</v>
      </c>
    </row>
    <row r="12" customFormat="false" ht="13.8" hidden="false" customHeight="false" outlineLevel="0" collapsed="false">
      <c r="B12" s="109" t="n">
        <v>8</v>
      </c>
      <c r="C12" s="110" t="s">
        <v>202</v>
      </c>
      <c r="D12" s="111" t="s">
        <v>196</v>
      </c>
      <c r="E12" s="111" t="n">
        <v>1</v>
      </c>
      <c r="F12" s="115" t="n">
        <v>12.77</v>
      </c>
      <c r="G12" s="113" t="n">
        <f aca="false">E12*F12</f>
        <v>12.77</v>
      </c>
    </row>
    <row r="13" customFormat="false" ht="13.8" hidden="false" customHeight="false" outlineLevel="0" collapsed="false">
      <c r="B13" s="116" t="s">
        <v>203</v>
      </c>
      <c r="C13" s="116"/>
      <c r="D13" s="116"/>
      <c r="E13" s="116"/>
      <c r="F13" s="116"/>
      <c r="G13" s="113" t="n">
        <f aca="false">SUM(G6:G12)</f>
        <v>549.74</v>
      </c>
    </row>
    <row r="14" customFormat="false" ht="13.8" hidden="false" customHeight="false" outlineLevel="0" collapsed="false">
      <c r="B14" s="117" t="s">
        <v>204</v>
      </c>
      <c r="C14" s="117"/>
      <c r="D14" s="117"/>
      <c r="E14" s="117"/>
      <c r="F14" s="117"/>
      <c r="G14" s="118" t="n">
        <f aca="false">G13/Dados!G14</f>
        <v>45.8116666666667</v>
      </c>
    </row>
    <row r="15" customFormat="false" ht="13.8" hidden="false" customHeight="false" outlineLevel="0" collapsed="false">
      <c r="B15" s="119"/>
      <c r="C15" s="119"/>
      <c r="D15" s="119"/>
      <c r="E15" s="119"/>
      <c r="F15" s="119"/>
      <c r="G15" s="119"/>
    </row>
    <row r="16" customFormat="false" ht="13.8" hidden="false" customHeight="false" outlineLevel="0" collapsed="false">
      <c r="B16" s="104" t="s">
        <v>205</v>
      </c>
      <c r="C16" s="104"/>
      <c r="D16" s="104"/>
      <c r="E16" s="104"/>
      <c r="F16" s="104"/>
      <c r="G16" s="104"/>
    </row>
    <row r="17" customFormat="false" ht="24" hidden="false" customHeight="false" outlineLevel="0" collapsed="false">
      <c r="B17" s="105" t="s">
        <v>189</v>
      </c>
      <c r="C17" s="106" t="s">
        <v>190</v>
      </c>
      <c r="D17" s="107" t="s">
        <v>191</v>
      </c>
      <c r="E17" s="107" t="s">
        <v>192</v>
      </c>
      <c r="F17" s="108" t="s">
        <v>193</v>
      </c>
      <c r="G17" s="108" t="s">
        <v>194</v>
      </c>
    </row>
    <row r="18" customFormat="false" ht="13.8" hidden="false" customHeight="false" outlineLevel="0" collapsed="false">
      <c r="B18" s="109" t="n">
        <v>1</v>
      </c>
      <c r="C18" s="110" t="s">
        <v>195</v>
      </c>
      <c r="D18" s="111" t="s">
        <v>196</v>
      </c>
      <c r="E18" s="111" t="n">
        <v>2</v>
      </c>
      <c r="F18" s="112" t="n">
        <v>54.65</v>
      </c>
      <c r="G18" s="113" t="n">
        <f aca="false">E18*F18</f>
        <v>109.3</v>
      </c>
    </row>
    <row r="19" customFormat="false" ht="13.8" hidden="false" customHeight="false" outlineLevel="0" collapsed="false">
      <c r="B19" s="109" t="n">
        <v>2</v>
      </c>
      <c r="C19" s="110" t="s">
        <v>197</v>
      </c>
      <c r="D19" s="111" t="s">
        <v>196</v>
      </c>
      <c r="E19" s="111" t="n">
        <v>3</v>
      </c>
      <c r="F19" s="114" t="n">
        <v>7.99</v>
      </c>
      <c r="G19" s="113" t="n">
        <f aca="false">E19*F19</f>
        <v>23.97</v>
      </c>
    </row>
    <row r="20" customFormat="false" ht="13.8" hidden="false" customHeight="false" outlineLevel="0" collapsed="false">
      <c r="B20" s="109" t="n">
        <v>3</v>
      </c>
      <c r="C20" s="110" t="s">
        <v>198</v>
      </c>
      <c r="D20" s="111" t="s">
        <v>196</v>
      </c>
      <c r="E20" s="111" t="n">
        <v>3</v>
      </c>
      <c r="F20" s="114" t="n">
        <v>39.83</v>
      </c>
      <c r="G20" s="113" t="n">
        <f aca="false">E20*F20</f>
        <v>119.49</v>
      </c>
    </row>
    <row r="21" customFormat="false" ht="13.8" hidden="false" customHeight="false" outlineLevel="0" collapsed="false">
      <c r="B21" s="109" t="n">
        <v>5</v>
      </c>
      <c r="C21" s="110" t="s">
        <v>199</v>
      </c>
      <c r="D21" s="111" t="s">
        <v>196</v>
      </c>
      <c r="E21" s="111" t="n">
        <v>1</v>
      </c>
      <c r="F21" s="114" t="n">
        <v>42.42</v>
      </c>
      <c r="G21" s="113" t="n">
        <f aca="false">E21*F21</f>
        <v>42.42</v>
      </c>
    </row>
    <row r="22" customFormat="false" ht="13.8" hidden="false" customHeight="false" outlineLevel="0" collapsed="false">
      <c r="B22" s="109" t="n">
        <v>6</v>
      </c>
      <c r="C22" s="110" t="s">
        <v>200</v>
      </c>
      <c r="D22" s="111" t="s">
        <v>196</v>
      </c>
      <c r="E22" s="111" t="n">
        <v>2</v>
      </c>
      <c r="F22" s="115" t="n">
        <v>69.93</v>
      </c>
      <c r="G22" s="113" t="n">
        <f aca="false">E22*F22</f>
        <v>139.86</v>
      </c>
    </row>
    <row r="23" customFormat="false" ht="13.8" hidden="false" customHeight="false" outlineLevel="0" collapsed="false">
      <c r="B23" s="109" t="n">
        <v>7</v>
      </c>
      <c r="C23" s="110" t="s">
        <v>201</v>
      </c>
      <c r="D23" s="111" t="s">
        <v>196</v>
      </c>
      <c r="E23" s="111" t="n">
        <v>1</v>
      </c>
      <c r="F23" s="115" t="n">
        <v>101.93</v>
      </c>
      <c r="G23" s="113" t="n">
        <f aca="false">E23*F23</f>
        <v>101.93</v>
      </c>
    </row>
    <row r="24" customFormat="false" ht="13.8" hidden="false" customHeight="false" outlineLevel="0" collapsed="false">
      <c r="B24" s="109" t="n">
        <v>8</v>
      </c>
      <c r="C24" s="110" t="s">
        <v>202</v>
      </c>
      <c r="D24" s="111" t="s">
        <v>196</v>
      </c>
      <c r="E24" s="111" t="n">
        <v>1</v>
      </c>
      <c r="F24" s="115" t="n">
        <v>12.77</v>
      </c>
      <c r="G24" s="113" t="n">
        <f aca="false">E24*F24</f>
        <v>12.77</v>
      </c>
    </row>
    <row r="25" customFormat="false" ht="13.8" hidden="false" customHeight="false" outlineLevel="0" collapsed="false">
      <c r="B25" s="116" t="s">
        <v>203</v>
      </c>
      <c r="C25" s="116"/>
      <c r="D25" s="116"/>
      <c r="E25" s="116"/>
      <c r="F25" s="116"/>
      <c r="G25" s="113" t="n">
        <f aca="false">SUM(G18:G24)</f>
        <v>549.74</v>
      </c>
    </row>
    <row r="26" customFormat="false" ht="13.8" hidden="false" customHeight="false" outlineLevel="0" collapsed="false">
      <c r="B26" s="117" t="s">
        <v>204</v>
      </c>
      <c r="C26" s="117"/>
      <c r="D26" s="117"/>
      <c r="E26" s="117"/>
      <c r="F26" s="117"/>
      <c r="G26" s="118" t="n">
        <f aca="false">G25/Dados!G14</f>
        <v>45.8116666666667</v>
      </c>
    </row>
    <row r="27" customFormat="false" ht="13.8" hidden="false" customHeight="false" outlineLevel="0" collapsed="false">
      <c r="B27" s="119"/>
      <c r="C27" s="119"/>
      <c r="D27" s="119"/>
      <c r="E27" s="119"/>
      <c r="F27" s="119"/>
      <c r="G27" s="119"/>
    </row>
    <row r="28" customFormat="false" ht="13.8" hidden="false" customHeight="false" outlineLevel="0" collapsed="false">
      <c r="B28" s="104" t="s">
        <v>206</v>
      </c>
      <c r="C28" s="104"/>
      <c r="D28" s="104"/>
      <c r="E28" s="104"/>
      <c r="F28" s="104"/>
      <c r="G28" s="104"/>
    </row>
    <row r="29" customFormat="false" ht="24" hidden="false" customHeight="false" outlineLevel="0" collapsed="false">
      <c r="B29" s="105" t="s">
        <v>189</v>
      </c>
      <c r="C29" s="106" t="s">
        <v>190</v>
      </c>
      <c r="D29" s="107" t="s">
        <v>191</v>
      </c>
      <c r="E29" s="107" t="s">
        <v>192</v>
      </c>
      <c r="F29" s="108" t="s">
        <v>193</v>
      </c>
      <c r="G29" s="108" t="s">
        <v>194</v>
      </c>
    </row>
    <row r="30" customFormat="false" ht="13.8" hidden="false" customHeight="false" outlineLevel="0" collapsed="false">
      <c r="B30" s="109" t="n">
        <v>1</v>
      </c>
      <c r="C30" s="110" t="s">
        <v>195</v>
      </c>
      <c r="D30" s="111" t="s">
        <v>196</v>
      </c>
      <c r="E30" s="111" t="n">
        <v>2</v>
      </c>
      <c r="F30" s="112" t="n">
        <v>54.65</v>
      </c>
      <c r="G30" s="113" t="n">
        <f aca="false">E30*F30</f>
        <v>109.3</v>
      </c>
    </row>
    <row r="31" customFormat="false" ht="13.8" hidden="false" customHeight="false" outlineLevel="0" collapsed="false">
      <c r="B31" s="109" t="n">
        <v>2</v>
      </c>
      <c r="C31" s="110" t="s">
        <v>207</v>
      </c>
      <c r="D31" s="111" t="s">
        <v>196</v>
      </c>
      <c r="E31" s="111" t="n">
        <v>2</v>
      </c>
      <c r="F31" s="114" t="n">
        <v>7.99</v>
      </c>
      <c r="G31" s="113" t="n">
        <f aca="false">E31*F31</f>
        <v>15.98</v>
      </c>
    </row>
    <row r="32" customFormat="false" ht="13.8" hidden="false" customHeight="false" outlineLevel="0" collapsed="false">
      <c r="B32" s="109" t="n">
        <v>3</v>
      </c>
      <c r="C32" s="110" t="s">
        <v>208</v>
      </c>
      <c r="D32" s="111" t="s">
        <v>196</v>
      </c>
      <c r="E32" s="111" t="n">
        <v>2</v>
      </c>
      <c r="F32" s="114" t="n">
        <v>39.83</v>
      </c>
      <c r="G32" s="113" t="n">
        <f aca="false">E32*F32</f>
        <v>79.66</v>
      </c>
    </row>
    <row r="33" customFormat="false" ht="13.8" hidden="false" customHeight="false" outlineLevel="0" collapsed="false">
      <c r="B33" s="109" t="n">
        <v>5</v>
      </c>
      <c r="C33" s="110" t="s">
        <v>201</v>
      </c>
      <c r="D33" s="111" t="s">
        <v>196</v>
      </c>
      <c r="E33" s="111" t="n">
        <v>2</v>
      </c>
      <c r="F33" s="114" t="n">
        <v>101.93</v>
      </c>
      <c r="G33" s="113" t="n">
        <f aca="false">E33*F33</f>
        <v>203.86</v>
      </c>
    </row>
    <row r="34" customFormat="false" ht="13.8" hidden="false" customHeight="false" outlineLevel="0" collapsed="false">
      <c r="B34" s="109" t="n">
        <v>6</v>
      </c>
      <c r="C34" s="110" t="s">
        <v>199</v>
      </c>
      <c r="D34" s="111" t="s">
        <v>196</v>
      </c>
      <c r="E34" s="111" t="n">
        <v>1</v>
      </c>
      <c r="F34" s="115" t="n">
        <v>42.42</v>
      </c>
      <c r="G34" s="113" t="n">
        <f aca="false">E34*F34</f>
        <v>42.42</v>
      </c>
    </row>
    <row r="35" customFormat="false" ht="13.8" hidden="false" customHeight="false" outlineLevel="0" collapsed="false">
      <c r="B35" s="109" t="n">
        <v>7</v>
      </c>
      <c r="C35" s="110" t="s">
        <v>209</v>
      </c>
      <c r="D35" s="111" t="s">
        <v>196</v>
      </c>
      <c r="E35" s="111" t="n">
        <v>1</v>
      </c>
      <c r="F35" s="115" t="n">
        <v>8.02</v>
      </c>
      <c r="G35" s="113" t="n">
        <f aca="false">E35*F35</f>
        <v>8.02</v>
      </c>
    </row>
    <row r="36" customFormat="false" ht="13.8" hidden="false" customHeight="false" outlineLevel="0" collapsed="false">
      <c r="B36" s="109" t="n">
        <v>8</v>
      </c>
      <c r="C36" s="110" t="s">
        <v>210</v>
      </c>
      <c r="D36" s="111" t="s">
        <v>196</v>
      </c>
      <c r="E36" s="111" t="n">
        <v>1</v>
      </c>
      <c r="F36" s="115" t="n">
        <v>49.43</v>
      </c>
      <c r="G36" s="113" t="n">
        <f aca="false">E36*F36</f>
        <v>49.43</v>
      </c>
    </row>
    <row r="37" customFormat="false" ht="13.8" hidden="false" customHeight="false" outlineLevel="0" collapsed="false">
      <c r="B37" s="116" t="s">
        <v>203</v>
      </c>
      <c r="C37" s="116"/>
      <c r="D37" s="116"/>
      <c r="E37" s="116"/>
      <c r="F37" s="116"/>
      <c r="G37" s="113" t="n">
        <f aca="false">SUM(G30:G36)</f>
        <v>508.67</v>
      </c>
    </row>
    <row r="38" customFormat="false" ht="13.8" hidden="false" customHeight="false" outlineLevel="0" collapsed="false">
      <c r="B38" s="117" t="s">
        <v>204</v>
      </c>
      <c r="C38" s="117"/>
      <c r="D38" s="117"/>
      <c r="E38" s="117"/>
      <c r="F38" s="117"/>
      <c r="G38" s="118" t="n">
        <f aca="false">G37/Dados!G14</f>
        <v>42.3891666666667</v>
      </c>
    </row>
    <row r="39" customFormat="false" ht="13.8" hidden="false" customHeight="false" outlineLevel="0" collapsed="false"/>
  </sheetData>
  <mergeCells count="11">
    <mergeCell ref="B2:G2"/>
    <mergeCell ref="B3:G3"/>
    <mergeCell ref="B4:G4"/>
    <mergeCell ref="B13:F13"/>
    <mergeCell ref="B14:F14"/>
    <mergeCell ref="B16:G16"/>
    <mergeCell ref="B25:F25"/>
    <mergeCell ref="B26:F26"/>
    <mergeCell ref="B28:G28"/>
    <mergeCell ref="B37:F37"/>
    <mergeCell ref="B38:F38"/>
  </mergeCells>
  <printOptions headings="false" gridLines="false" gridLinesSet="true" horizontalCentered="false" verticalCentered="false"/>
  <pageMargins left="0.292361111111111" right="0.311111111111111" top="0.659722222222222" bottom="1.05277777777778" header="0.394444444444444" footer="0.787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1" zoomScalePageLayoutView="100" workbookViewId="0">
      <selection pane="topLeft" activeCell="C29" activeCellId="0" sqref="C29"/>
    </sheetView>
  </sheetViews>
  <sheetFormatPr defaultRowHeight="12.8" zeroHeight="false" outlineLevelRow="0" outlineLevelCol="0"/>
  <cols>
    <col collapsed="false" customWidth="true" hidden="false" outlineLevel="0" max="1" min="1" style="20" width="3.58"/>
    <col collapsed="false" customWidth="true" hidden="false" outlineLevel="0" max="2" min="2" style="20" width="5.55"/>
    <col collapsed="false" customWidth="true" hidden="false" outlineLevel="0" max="3" min="3" style="20" width="45.57"/>
    <col collapsed="false" customWidth="true" hidden="false" outlineLevel="0" max="4" min="4" style="20" width="10.77"/>
    <col collapsed="false" customWidth="true" hidden="false" outlineLevel="0" max="5" min="5" style="20" width="11.08"/>
    <col collapsed="false" customWidth="true" hidden="false" outlineLevel="0" max="6" min="6" style="20" width="11.38"/>
    <col collapsed="false" customWidth="true" hidden="false" outlineLevel="0" max="7" min="7" style="20" width="14.98"/>
    <col collapsed="false" customWidth="false" hidden="false" outlineLevel="0" max="1025" min="8" style="20" width="11.52"/>
  </cols>
  <sheetData>
    <row r="1" customFormat="false" ht="13.8" hidden="false" customHeight="false" outlineLevel="0" collapsed="false">
      <c r="A1" s="119"/>
      <c r="B1" s="119"/>
      <c r="C1" s="119"/>
      <c r="D1" s="119"/>
      <c r="E1" s="119"/>
      <c r="F1" s="119"/>
      <c r="G1" s="119"/>
    </row>
    <row r="2" customFormat="false" ht="13.8" hidden="false" customHeight="false" outlineLevel="0" collapsed="false">
      <c r="A2" s="119"/>
      <c r="B2" s="102" t="s">
        <v>211</v>
      </c>
      <c r="C2" s="102"/>
      <c r="D2" s="102"/>
      <c r="E2" s="102"/>
      <c r="F2" s="102"/>
      <c r="G2" s="102"/>
    </row>
    <row r="3" customFormat="false" ht="13.8" hidden="false" customHeight="false" outlineLevel="0" collapsed="false">
      <c r="A3" s="119"/>
      <c r="B3" s="103"/>
      <c r="C3" s="103"/>
      <c r="D3" s="103"/>
      <c r="E3" s="103"/>
      <c r="F3" s="103"/>
      <c r="G3" s="103"/>
    </row>
    <row r="4" customFormat="false" ht="13.8" hidden="false" customHeight="false" outlineLevel="0" collapsed="false">
      <c r="A4" s="119"/>
      <c r="B4" s="104" t="s">
        <v>188</v>
      </c>
      <c r="C4" s="104"/>
      <c r="D4" s="104"/>
      <c r="E4" s="104"/>
      <c r="F4" s="104"/>
      <c r="G4" s="104"/>
    </row>
    <row r="5" customFormat="false" ht="24.4" hidden="false" customHeight="false" outlineLevel="0" collapsed="false">
      <c r="A5" s="119"/>
      <c r="B5" s="105" t="s">
        <v>189</v>
      </c>
      <c r="C5" s="106" t="s">
        <v>190</v>
      </c>
      <c r="D5" s="107" t="s">
        <v>191</v>
      </c>
      <c r="E5" s="107" t="s">
        <v>192</v>
      </c>
      <c r="F5" s="108" t="s">
        <v>193</v>
      </c>
      <c r="G5" s="108" t="s">
        <v>194</v>
      </c>
    </row>
    <row r="6" customFormat="false" ht="13.8" hidden="false" customHeight="false" outlineLevel="0" collapsed="false">
      <c r="A6" s="119"/>
      <c r="B6" s="109" t="n">
        <v>1</v>
      </c>
      <c r="C6" s="110" t="s">
        <v>212</v>
      </c>
      <c r="D6" s="111" t="s">
        <v>196</v>
      </c>
      <c r="E6" s="111" t="n">
        <v>6</v>
      </c>
      <c r="F6" s="112" t="n">
        <v>1.93</v>
      </c>
      <c r="G6" s="120" t="n">
        <f aca="false">F6*E6</f>
        <v>11.58</v>
      </c>
    </row>
    <row r="7" customFormat="false" ht="13.8" hidden="false" customHeight="false" outlineLevel="0" collapsed="false">
      <c r="A7" s="119"/>
      <c r="B7" s="109" t="n">
        <v>2</v>
      </c>
      <c r="C7" s="110" t="s">
        <v>213</v>
      </c>
      <c r="D7" s="111" t="s">
        <v>196</v>
      </c>
      <c r="E7" s="111" t="n">
        <v>6</v>
      </c>
      <c r="F7" s="114" t="n">
        <v>13.63</v>
      </c>
      <c r="G7" s="120" t="n">
        <f aca="false">F7*E7</f>
        <v>81.78</v>
      </c>
    </row>
    <row r="8" customFormat="false" ht="13.8" hidden="false" customHeight="false" outlineLevel="0" collapsed="false">
      <c r="A8" s="119"/>
      <c r="B8" s="109" t="n">
        <v>3</v>
      </c>
      <c r="C8" s="110" t="s">
        <v>214</v>
      </c>
      <c r="D8" s="111" t="s">
        <v>196</v>
      </c>
      <c r="E8" s="111" t="n">
        <v>2</v>
      </c>
      <c r="F8" s="114" t="n">
        <v>5.47</v>
      </c>
      <c r="G8" s="120" t="n">
        <f aca="false">F8*E8</f>
        <v>10.94</v>
      </c>
    </row>
    <row r="9" customFormat="false" ht="13.8" hidden="false" customHeight="false" outlineLevel="0" collapsed="false">
      <c r="A9" s="119"/>
      <c r="B9" s="109" t="n">
        <v>4</v>
      </c>
      <c r="C9" s="110" t="s">
        <v>215</v>
      </c>
      <c r="D9" s="111" t="s">
        <v>196</v>
      </c>
      <c r="E9" s="111" t="n">
        <v>1</v>
      </c>
      <c r="F9" s="114" t="n">
        <v>11.96</v>
      </c>
      <c r="G9" s="120" t="n">
        <f aca="false">F9*E9</f>
        <v>11.96</v>
      </c>
    </row>
    <row r="10" customFormat="false" ht="13.8" hidden="false" customHeight="false" outlineLevel="0" collapsed="false">
      <c r="A10" s="119"/>
      <c r="B10" s="116" t="s">
        <v>203</v>
      </c>
      <c r="C10" s="116"/>
      <c r="D10" s="116"/>
      <c r="E10" s="116"/>
      <c r="F10" s="116"/>
      <c r="G10" s="113" t="n">
        <f aca="false">SUM(G6:G9)</f>
        <v>116.26</v>
      </c>
    </row>
    <row r="11" customFormat="false" ht="13.8" hidden="false" customHeight="false" outlineLevel="0" collapsed="false">
      <c r="A11" s="119"/>
      <c r="B11" s="117" t="s">
        <v>204</v>
      </c>
      <c r="C11" s="117"/>
      <c r="D11" s="117"/>
      <c r="E11" s="117"/>
      <c r="F11" s="117"/>
      <c r="G11" s="118" t="n">
        <f aca="false">G10/Dados!G14</f>
        <v>9.68833333333333</v>
      </c>
    </row>
    <row r="12" customFormat="false" ht="13.8" hidden="false" customHeight="false" outlineLevel="0" collapsed="false">
      <c r="A12" s="119"/>
      <c r="B12" s="121"/>
      <c r="C12" s="122"/>
      <c r="D12" s="121"/>
      <c r="E12" s="121"/>
      <c r="F12" s="121"/>
      <c r="G12" s="121"/>
    </row>
    <row r="13" customFormat="false" ht="13.8" hidden="false" customHeight="false" outlineLevel="0" collapsed="false">
      <c r="A13" s="119"/>
      <c r="B13" s="103"/>
      <c r="C13" s="103"/>
      <c r="D13" s="103"/>
      <c r="E13" s="103"/>
      <c r="F13" s="103"/>
      <c r="G13" s="103"/>
    </row>
    <row r="14" customFormat="false" ht="13.8" hidden="false" customHeight="false" outlineLevel="0" collapsed="false">
      <c r="A14" s="119"/>
      <c r="B14" s="104" t="s">
        <v>205</v>
      </c>
      <c r="C14" s="104"/>
      <c r="D14" s="104"/>
      <c r="E14" s="104"/>
      <c r="F14" s="104"/>
      <c r="G14" s="104"/>
    </row>
    <row r="15" customFormat="false" ht="24" hidden="false" customHeight="false" outlineLevel="0" collapsed="false">
      <c r="A15" s="119"/>
      <c r="B15" s="105" t="s">
        <v>189</v>
      </c>
      <c r="C15" s="106" t="s">
        <v>190</v>
      </c>
      <c r="D15" s="107" t="s">
        <v>191</v>
      </c>
      <c r="E15" s="107" t="s">
        <v>192</v>
      </c>
      <c r="F15" s="108" t="s">
        <v>193</v>
      </c>
      <c r="G15" s="108" t="s">
        <v>194</v>
      </c>
    </row>
    <row r="16" customFormat="false" ht="13.8" hidden="false" customHeight="false" outlineLevel="0" collapsed="false">
      <c r="A16" s="119"/>
      <c r="B16" s="109" t="n">
        <v>1</v>
      </c>
      <c r="C16" s="110" t="s">
        <v>212</v>
      </c>
      <c r="D16" s="111" t="s">
        <v>196</v>
      </c>
      <c r="E16" s="111" t="n">
        <v>6</v>
      </c>
      <c r="F16" s="112" t="n">
        <v>1.93</v>
      </c>
      <c r="G16" s="120" t="n">
        <f aca="false">F16*E16</f>
        <v>11.58</v>
      </c>
    </row>
    <row r="17" customFormat="false" ht="13.8" hidden="false" customHeight="false" outlineLevel="0" collapsed="false">
      <c r="A17" s="119"/>
      <c r="B17" s="109" t="n">
        <v>2</v>
      </c>
      <c r="C17" s="110" t="s">
        <v>213</v>
      </c>
      <c r="D17" s="111" t="s">
        <v>196</v>
      </c>
      <c r="E17" s="111" t="n">
        <v>6</v>
      </c>
      <c r="F17" s="114" t="n">
        <v>13.63</v>
      </c>
      <c r="G17" s="120" t="n">
        <f aca="false">F17*E17</f>
        <v>81.78</v>
      </c>
    </row>
    <row r="18" customFormat="false" ht="13.8" hidden="false" customHeight="false" outlineLevel="0" collapsed="false">
      <c r="A18" s="119"/>
      <c r="B18" s="109" t="n">
        <v>3</v>
      </c>
      <c r="C18" s="110" t="s">
        <v>214</v>
      </c>
      <c r="D18" s="111" t="s">
        <v>196</v>
      </c>
      <c r="E18" s="111" t="n">
        <v>2</v>
      </c>
      <c r="F18" s="114" t="n">
        <v>5.47</v>
      </c>
      <c r="G18" s="120" t="n">
        <f aca="false">F18*E18</f>
        <v>10.94</v>
      </c>
    </row>
    <row r="19" customFormat="false" ht="13.8" hidden="false" customHeight="false" outlineLevel="0" collapsed="false">
      <c r="A19" s="119"/>
      <c r="B19" s="109" t="n">
        <v>4</v>
      </c>
      <c r="C19" s="110" t="s">
        <v>215</v>
      </c>
      <c r="D19" s="111" t="s">
        <v>196</v>
      </c>
      <c r="E19" s="111" t="n">
        <v>1</v>
      </c>
      <c r="F19" s="114" t="n">
        <v>11.96</v>
      </c>
      <c r="G19" s="120" t="n">
        <f aca="false">F19*E19</f>
        <v>11.96</v>
      </c>
    </row>
    <row r="20" customFormat="false" ht="13.8" hidden="false" customHeight="false" outlineLevel="0" collapsed="false">
      <c r="A20" s="119"/>
      <c r="B20" s="109" t="n">
        <v>5</v>
      </c>
      <c r="C20" s="110" t="s">
        <v>216</v>
      </c>
      <c r="D20" s="111" t="s">
        <v>196</v>
      </c>
      <c r="E20" s="111" t="n">
        <v>3</v>
      </c>
      <c r="F20" s="112" t="n">
        <v>3.31</v>
      </c>
      <c r="G20" s="120" t="n">
        <f aca="false">F20*E20</f>
        <v>9.93</v>
      </c>
    </row>
    <row r="21" customFormat="false" ht="13.8" hidden="false" customHeight="false" outlineLevel="0" collapsed="false">
      <c r="A21" s="119"/>
      <c r="B21" s="109" t="n">
        <v>6</v>
      </c>
      <c r="C21" s="110" t="s">
        <v>217</v>
      </c>
      <c r="D21" s="111" t="s">
        <v>196</v>
      </c>
      <c r="E21" s="111" t="n">
        <v>3</v>
      </c>
      <c r="F21" s="114" t="n">
        <v>8.3</v>
      </c>
      <c r="G21" s="120" t="n">
        <f aca="false">F21*E21</f>
        <v>24.9</v>
      </c>
    </row>
    <row r="22" customFormat="false" ht="13.8" hidden="false" customHeight="false" outlineLevel="0" collapsed="false">
      <c r="A22" s="119"/>
      <c r="B22" s="109" t="n">
        <v>7</v>
      </c>
      <c r="C22" s="110" t="s">
        <v>218</v>
      </c>
      <c r="D22" s="111" t="s">
        <v>196</v>
      </c>
      <c r="E22" s="111" t="n">
        <v>12</v>
      </c>
      <c r="F22" s="114" t="n">
        <v>1.96</v>
      </c>
      <c r="G22" s="120" t="n">
        <f aca="false">F22*E22</f>
        <v>23.52</v>
      </c>
    </row>
    <row r="23" customFormat="false" ht="13.8" hidden="false" customHeight="false" outlineLevel="0" collapsed="false">
      <c r="A23" s="119"/>
      <c r="B23" s="109" t="n">
        <v>8</v>
      </c>
      <c r="C23" s="110" t="s">
        <v>219</v>
      </c>
      <c r="D23" s="111" t="s">
        <v>196</v>
      </c>
      <c r="E23" s="111" t="n">
        <v>2</v>
      </c>
      <c r="F23" s="114" t="n">
        <v>17.26</v>
      </c>
      <c r="G23" s="120" t="n">
        <f aca="false">F23*E23</f>
        <v>34.52</v>
      </c>
    </row>
    <row r="24" customFormat="false" ht="13.8" hidden="false" customHeight="false" outlineLevel="0" collapsed="false">
      <c r="A24" s="119"/>
      <c r="B24" s="109" t="n">
        <v>9</v>
      </c>
      <c r="C24" s="110" t="s">
        <v>220</v>
      </c>
      <c r="D24" s="111" t="s">
        <v>196</v>
      </c>
      <c r="E24" s="111" t="n">
        <v>1</v>
      </c>
      <c r="F24" s="112" t="n">
        <v>33.38</v>
      </c>
      <c r="G24" s="120" t="n">
        <f aca="false">F24*E24</f>
        <v>33.38</v>
      </c>
    </row>
    <row r="25" customFormat="false" ht="13.8" hidden="false" customHeight="false" outlineLevel="0" collapsed="false">
      <c r="A25" s="119"/>
      <c r="B25" s="109" t="n">
        <v>10</v>
      </c>
      <c r="C25" s="110" t="s">
        <v>221</v>
      </c>
      <c r="D25" s="111" t="s">
        <v>196</v>
      </c>
      <c r="E25" s="111" t="n">
        <v>10</v>
      </c>
      <c r="F25" s="114" t="n">
        <v>2.49</v>
      </c>
      <c r="G25" s="120" t="n">
        <f aca="false">F25*E25</f>
        <v>24.9</v>
      </c>
    </row>
    <row r="26" customFormat="false" ht="13.8" hidden="false" customHeight="false" outlineLevel="0" collapsed="false">
      <c r="A26" s="119"/>
      <c r="B26" s="109" t="n">
        <v>11</v>
      </c>
      <c r="C26" s="110" t="s">
        <v>222</v>
      </c>
      <c r="D26" s="111" t="s">
        <v>196</v>
      </c>
      <c r="E26" s="111" t="n">
        <v>2</v>
      </c>
      <c r="F26" s="114" t="n">
        <v>14.4</v>
      </c>
      <c r="G26" s="120" t="n">
        <f aca="false">F26*E26</f>
        <v>28.8</v>
      </c>
    </row>
    <row r="27" customFormat="false" ht="13.8" hidden="false" customHeight="false" outlineLevel="0" collapsed="false">
      <c r="A27" s="119"/>
      <c r="B27" s="109" t="n">
        <v>12</v>
      </c>
      <c r="C27" s="110" t="s">
        <v>223</v>
      </c>
      <c r="D27" s="111" t="s">
        <v>196</v>
      </c>
      <c r="E27" s="111" t="n">
        <v>1</v>
      </c>
      <c r="F27" s="114" t="n">
        <v>18.85</v>
      </c>
      <c r="G27" s="120" t="n">
        <f aca="false">F27*E27</f>
        <v>18.85</v>
      </c>
    </row>
    <row r="28" customFormat="false" ht="13.8" hidden="false" customHeight="false" outlineLevel="0" collapsed="false">
      <c r="A28" s="119"/>
      <c r="B28" s="109" t="n">
        <v>13</v>
      </c>
      <c r="C28" s="110" t="s">
        <v>224</v>
      </c>
      <c r="D28" s="111" t="s">
        <v>196</v>
      </c>
      <c r="E28" s="111" t="n">
        <v>4</v>
      </c>
      <c r="F28" s="114" t="n">
        <v>14.38</v>
      </c>
      <c r="G28" s="120" t="n">
        <f aca="false">F28*E28</f>
        <v>57.52</v>
      </c>
    </row>
    <row r="29" customFormat="false" ht="24" hidden="false" customHeight="false" outlineLevel="0" collapsed="false">
      <c r="A29" s="119"/>
      <c r="B29" s="109" t="n">
        <v>14</v>
      </c>
      <c r="C29" s="123" t="s">
        <v>225</v>
      </c>
      <c r="D29" s="111" t="s">
        <v>196</v>
      </c>
      <c r="E29" s="111" t="n">
        <v>1</v>
      </c>
      <c r="F29" s="112" t="n">
        <v>23.93</v>
      </c>
      <c r="G29" s="120" t="n">
        <f aca="false">F29*E29</f>
        <v>23.93</v>
      </c>
    </row>
    <row r="30" customFormat="false" ht="13.8" hidden="false" customHeight="false" outlineLevel="0" collapsed="false">
      <c r="A30" s="119"/>
      <c r="B30" s="116" t="s">
        <v>203</v>
      </c>
      <c r="C30" s="116"/>
      <c r="D30" s="116"/>
      <c r="E30" s="116"/>
      <c r="F30" s="116"/>
      <c r="G30" s="113" t="n">
        <f aca="false">SUM(G16:G29)</f>
        <v>396.51</v>
      </c>
    </row>
    <row r="31" customFormat="false" ht="13.8" hidden="false" customHeight="false" outlineLevel="0" collapsed="false">
      <c r="A31" s="119"/>
      <c r="B31" s="117" t="s">
        <v>204</v>
      </c>
      <c r="C31" s="117"/>
      <c r="D31" s="117"/>
      <c r="E31" s="117"/>
      <c r="F31" s="117"/>
      <c r="G31" s="118" t="n">
        <f aca="false">G30/Dados!G14</f>
        <v>33.0425</v>
      </c>
    </row>
    <row r="32" customFormat="false" ht="13.8" hidden="false" customHeight="false" outlineLevel="0" collapsed="false">
      <c r="A32" s="119"/>
      <c r="B32" s="121"/>
      <c r="C32" s="122"/>
      <c r="D32" s="121"/>
      <c r="E32" s="121"/>
      <c r="F32" s="121"/>
      <c r="G32" s="121"/>
    </row>
    <row r="33" customFormat="false" ht="13.8" hidden="false" customHeight="false" outlineLevel="0" collapsed="false">
      <c r="A33" s="119"/>
      <c r="B33" s="104" t="s">
        <v>206</v>
      </c>
      <c r="C33" s="104"/>
      <c r="D33" s="104"/>
      <c r="E33" s="104"/>
      <c r="F33" s="104"/>
      <c r="G33" s="104"/>
    </row>
    <row r="34" customFormat="false" ht="24" hidden="false" customHeight="false" outlineLevel="0" collapsed="false">
      <c r="A34" s="119"/>
      <c r="B34" s="105" t="s">
        <v>189</v>
      </c>
      <c r="C34" s="106" t="s">
        <v>190</v>
      </c>
      <c r="D34" s="107" t="s">
        <v>191</v>
      </c>
      <c r="E34" s="107" t="s">
        <v>192</v>
      </c>
      <c r="F34" s="108" t="s">
        <v>193</v>
      </c>
      <c r="G34" s="108" t="s">
        <v>194</v>
      </c>
    </row>
    <row r="35" customFormat="false" ht="13.8" hidden="false" customHeight="false" outlineLevel="0" collapsed="false">
      <c r="A35" s="119"/>
      <c r="B35" s="109" t="n">
        <v>1</v>
      </c>
      <c r="C35" s="110" t="s">
        <v>215</v>
      </c>
      <c r="D35" s="111" t="s">
        <v>196</v>
      </c>
      <c r="E35" s="111" t="n">
        <v>1</v>
      </c>
      <c r="F35" s="115" t="n">
        <v>11.96</v>
      </c>
      <c r="G35" s="113" t="n">
        <f aca="false">E35*F35</f>
        <v>11.96</v>
      </c>
    </row>
    <row r="36" customFormat="false" ht="24" hidden="false" customHeight="false" outlineLevel="0" collapsed="false">
      <c r="A36" s="119"/>
      <c r="B36" s="109" t="n">
        <v>2</v>
      </c>
      <c r="C36" s="123" t="s">
        <v>226</v>
      </c>
      <c r="D36" s="111" t="s">
        <v>196</v>
      </c>
      <c r="E36" s="111" t="n">
        <v>1</v>
      </c>
      <c r="F36" s="115" t="n">
        <v>33.38</v>
      </c>
      <c r="G36" s="113" t="n">
        <f aca="false">E36*F36</f>
        <v>33.38</v>
      </c>
    </row>
    <row r="37" customFormat="false" ht="13.8" hidden="false" customHeight="false" outlineLevel="0" collapsed="false">
      <c r="A37" s="119"/>
      <c r="B37" s="109" t="n">
        <v>3</v>
      </c>
      <c r="C37" s="110" t="s">
        <v>227</v>
      </c>
      <c r="D37" s="124" t="s">
        <v>196</v>
      </c>
      <c r="E37" s="111" t="n">
        <v>1</v>
      </c>
      <c r="F37" s="115" t="n">
        <v>10.77</v>
      </c>
      <c r="G37" s="113" t="n">
        <f aca="false">E37*F37</f>
        <v>10.77</v>
      </c>
    </row>
    <row r="38" customFormat="false" ht="13.8" hidden="false" customHeight="false" outlineLevel="0" collapsed="false">
      <c r="A38" s="119"/>
      <c r="B38" s="109" t="n">
        <v>4</v>
      </c>
      <c r="C38" s="110" t="s">
        <v>228</v>
      </c>
      <c r="D38" s="111" t="s">
        <v>196</v>
      </c>
      <c r="E38" s="111" t="n">
        <f aca="false">4*(Dados!G21+Dados!G22)</f>
        <v>32</v>
      </c>
      <c r="F38" s="115" t="n">
        <v>14.38</v>
      </c>
      <c r="G38" s="113" t="n">
        <f aca="false">E38*F38</f>
        <v>460.16</v>
      </c>
    </row>
    <row r="39" customFormat="false" ht="24" hidden="false" customHeight="false" outlineLevel="0" collapsed="false">
      <c r="A39" s="119"/>
      <c r="B39" s="109" t="n">
        <v>5</v>
      </c>
      <c r="C39" s="123" t="s">
        <v>229</v>
      </c>
      <c r="D39" s="111" t="s">
        <v>196</v>
      </c>
      <c r="E39" s="111" t="n">
        <v>1</v>
      </c>
      <c r="F39" s="115" t="n">
        <v>13.4</v>
      </c>
      <c r="G39" s="113" t="n">
        <f aca="false">E39*F39</f>
        <v>13.4</v>
      </c>
    </row>
    <row r="40" customFormat="false" ht="13.8" hidden="false" customHeight="false" outlineLevel="0" collapsed="false">
      <c r="A40" s="119"/>
      <c r="B40" s="116" t="s">
        <v>203</v>
      </c>
      <c r="C40" s="116"/>
      <c r="D40" s="116"/>
      <c r="E40" s="116"/>
      <c r="F40" s="116"/>
      <c r="G40" s="113" t="n">
        <f aca="false">SUM(G35:G39)</f>
        <v>529.67</v>
      </c>
    </row>
    <row r="41" customFormat="false" ht="13.8" hidden="false" customHeight="false" outlineLevel="0" collapsed="false">
      <c r="A41" s="119"/>
      <c r="B41" s="117" t="s">
        <v>204</v>
      </c>
      <c r="C41" s="117"/>
      <c r="D41" s="117"/>
      <c r="E41" s="117"/>
      <c r="F41" s="117"/>
      <c r="G41" s="118" t="n">
        <f aca="false">G40/Dados!G14</f>
        <v>44.1391666666667</v>
      </c>
    </row>
  </sheetData>
  <mergeCells count="12">
    <mergeCell ref="B2:G2"/>
    <mergeCell ref="B3:G3"/>
    <mergeCell ref="B4:G4"/>
    <mergeCell ref="B10:F10"/>
    <mergeCell ref="B11:F11"/>
    <mergeCell ref="B13:G13"/>
    <mergeCell ref="B14:G14"/>
    <mergeCell ref="B30:F30"/>
    <mergeCell ref="B31:F31"/>
    <mergeCell ref="B33:G33"/>
    <mergeCell ref="B40:F40"/>
    <mergeCell ref="B41:F4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1" zoomScalePageLayoutView="100" workbookViewId="0">
      <selection pane="topLeft" activeCell="B10" activeCellId="0" sqref="B10"/>
    </sheetView>
  </sheetViews>
  <sheetFormatPr defaultRowHeight="12.8" zeroHeight="false" outlineLevelRow="0" outlineLevelCol="0"/>
  <cols>
    <col collapsed="false" customWidth="true" hidden="false" outlineLevel="0" max="1" min="1" style="20" width="4.06"/>
    <col collapsed="false" customWidth="false" hidden="false" outlineLevel="0" max="2" min="2" style="20" width="11.52"/>
    <col collapsed="false" customWidth="true" hidden="false" outlineLevel="0" max="3" min="3" style="20" width="61.97"/>
    <col collapsed="false" customWidth="false" hidden="false" outlineLevel="0" max="5" min="4" style="20" width="11.52"/>
    <col collapsed="false" customWidth="true" hidden="false" outlineLevel="0" max="6" min="6" style="20" width="10.31"/>
    <col collapsed="false" customWidth="true" hidden="false" outlineLevel="0" max="7" min="7" style="20" width="14.2"/>
    <col collapsed="false" customWidth="false" hidden="false" outlineLevel="0" max="1025" min="8" style="20" width="11.52"/>
  </cols>
  <sheetData>
    <row r="1" customFormat="false" ht="13.8" hidden="false" customHeight="false" outlineLevel="0" collapsed="false">
      <c r="A1" s="119"/>
      <c r="B1" s="119"/>
      <c r="C1" s="119"/>
      <c r="D1" s="119"/>
      <c r="E1" s="119"/>
      <c r="F1" s="119"/>
      <c r="G1" s="119"/>
    </row>
    <row r="2" customFormat="false" ht="13.8" hidden="false" customHeight="false" outlineLevel="0" collapsed="false">
      <c r="A2" s="119"/>
      <c r="B2" s="102" t="s">
        <v>211</v>
      </c>
      <c r="C2" s="102"/>
      <c r="D2" s="102"/>
      <c r="E2" s="102"/>
      <c r="F2" s="102"/>
      <c r="G2" s="102"/>
    </row>
    <row r="3" customFormat="false" ht="13.8" hidden="false" customHeight="false" outlineLevel="0" collapsed="false">
      <c r="A3" s="119"/>
      <c r="B3" s="103"/>
      <c r="C3" s="103"/>
      <c r="D3" s="103"/>
      <c r="E3" s="103"/>
      <c r="F3" s="103"/>
      <c r="G3" s="103"/>
    </row>
    <row r="4" customFormat="false" ht="13.8" hidden="false" customHeight="false" outlineLevel="0" collapsed="false">
      <c r="A4" s="119"/>
      <c r="B4" s="104" t="s">
        <v>205</v>
      </c>
      <c r="C4" s="104"/>
      <c r="D4" s="104"/>
      <c r="E4" s="104"/>
      <c r="F4" s="104"/>
      <c r="G4" s="104"/>
    </row>
    <row r="5" customFormat="false" ht="24" hidden="false" customHeight="false" outlineLevel="0" collapsed="false">
      <c r="A5" s="119"/>
      <c r="B5" s="105" t="s">
        <v>189</v>
      </c>
      <c r="C5" s="106" t="s">
        <v>190</v>
      </c>
      <c r="D5" s="107" t="s">
        <v>191</v>
      </c>
      <c r="E5" s="107" t="s">
        <v>230</v>
      </c>
      <c r="F5" s="108" t="s">
        <v>193</v>
      </c>
      <c r="G5" s="108" t="s">
        <v>194</v>
      </c>
    </row>
    <row r="6" customFormat="false" ht="13.8" hidden="false" customHeight="false" outlineLevel="0" collapsed="false">
      <c r="A6" s="119"/>
      <c r="B6" s="109" t="n">
        <v>1</v>
      </c>
      <c r="C6" s="110" t="s">
        <v>231</v>
      </c>
      <c r="D6" s="111" t="s">
        <v>232</v>
      </c>
      <c r="E6" s="111" t="n">
        <v>50</v>
      </c>
      <c r="F6" s="112" t="n">
        <v>4.29</v>
      </c>
      <c r="G6" s="120" t="n">
        <f aca="false">F6*E6</f>
        <v>214.5</v>
      </c>
    </row>
    <row r="7" customFormat="false" ht="13.8" hidden="false" customHeight="false" outlineLevel="0" collapsed="false">
      <c r="A7" s="119"/>
      <c r="B7" s="109" t="n">
        <v>2</v>
      </c>
      <c r="C7" s="110" t="s">
        <v>233</v>
      </c>
      <c r="D7" s="111" t="s">
        <v>232</v>
      </c>
      <c r="E7" s="111" t="n">
        <v>3</v>
      </c>
      <c r="F7" s="114" t="n">
        <v>17.64</v>
      </c>
      <c r="G7" s="120" t="n">
        <f aca="false">F7*E7</f>
        <v>52.92</v>
      </c>
    </row>
    <row r="8" customFormat="false" ht="13.8" hidden="false" customHeight="false" outlineLevel="0" collapsed="false">
      <c r="A8" s="119"/>
      <c r="B8" s="109" t="n">
        <v>3</v>
      </c>
      <c r="C8" s="110" t="s">
        <v>234</v>
      </c>
      <c r="D8" s="111" t="s">
        <v>235</v>
      </c>
      <c r="E8" s="111" t="n">
        <v>1</v>
      </c>
      <c r="F8" s="114" t="n">
        <v>60.04</v>
      </c>
      <c r="G8" s="120" t="n">
        <f aca="false">F8*E8</f>
        <v>60.04</v>
      </c>
    </row>
    <row r="9" customFormat="false" ht="13.8" hidden="false" customHeight="false" outlineLevel="0" collapsed="false">
      <c r="A9" s="119"/>
      <c r="B9" s="109" t="n">
        <v>4</v>
      </c>
      <c r="C9" s="125" t="s">
        <v>236</v>
      </c>
      <c r="D9" s="126" t="s">
        <v>237</v>
      </c>
      <c r="E9" s="126" t="n">
        <v>4</v>
      </c>
      <c r="F9" s="114" t="n">
        <v>56.83</v>
      </c>
      <c r="G9" s="120" t="n">
        <f aca="false">F9*E9</f>
        <v>227.32</v>
      </c>
    </row>
    <row r="10" customFormat="false" ht="13.8" hidden="false" customHeight="false" outlineLevel="0" collapsed="false">
      <c r="A10" s="119"/>
      <c r="B10" s="116" t="s">
        <v>238</v>
      </c>
      <c r="C10" s="116"/>
      <c r="D10" s="116"/>
      <c r="E10" s="116"/>
      <c r="F10" s="116"/>
      <c r="G10" s="113" t="n">
        <f aca="false">SUM(G6:G9)</f>
        <v>554.78</v>
      </c>
    </row>
    <row r="11" customFormat="false" ht="13.8" hidden="false" customHeight="false" outlineLevel="0" collapsed="false">
      <c r="A11" s="119"/>
      <c r="B11" s="116" t="s">
        <v>239</v>
      </c>
      <c r="C11" s="116"/>
      <c r="D11" s="116"/>
      <c r="E11" s="116"/>
      <c r="F11" s="116"/>
      <c r="G11" s="109" t="n">
        <f aca="false">Dados!G20</f>
        <v>2</v>
      </c>
    </row>
    <row r="12" customFormat="false" ht="13.8" hidden="false" customHeight="false" outlineLevel="0" collapsed="false">
      <c r="A12" s="119"/>
      <c r="B12" s="117" t="s">
        <v>204</v>
      </c>
      <c r="C12" s="117"/>
      <c r="D12" s="117"/>
      <c r="E12" s="117"/>
      <c r="F12" s="117"/>
      <c r="G12" s="118" t="n">
        <f aca="false">G10/G11</f>
        <v>277.39</v>
      </c>
    </row>
    <row r="13" customFormat="false" ht="13.8" hidden="false" customHeight="false" outlineLevel="0" collapsed="false">
      <c r="A13" s="119"/>
      <c r="B13" s="121"/>
      <c r="C13" s="122"/>
      <c r="D13" s="121"/>
      <c r="E13" s="121"/>
      <c r="F13" s="121"/>
      <c r="G13" s="121"/>
    </row>
    <row r="14" customFormat="false" ht="13.8" hidden="false" customHeight="false" outlineLevel="0" collapsed="false">
      <c r="A14" s="119"/>
      <c r="B14" s="103"/>
      <c r="C14" s="103"/>
      <c r="D14" s="103"/>
      <c r="E14" s="103"/>
      <c r="F14" s="103"/>
      <c r="G14" s="103"/>
    </row>
    <row r="15" customFormat="false" ht="13.8" hidden="false" customHeight="false" outlineLevel="0" collapsed="false">
      <c r="A15" s="119"/>
      <c r="B15" s="104" t="s">
        <v>206</v>
      </c>
      <c r="C15" s="104"/>
      <c r="D15" s="104"/>
      <c r="E15" s="104"/>
      <c r="F15" s="104"/>
      <c r="G15" s="104"/>
    </row>
    <row r="16" customFormat="false" ht="24" hidden="false" customHeight="false" outlineLevel="0" collapsed="false">
      <c r="A16" s="119"/>
      <c r="B16" s="105" t="s">
        <v>189</v>
      </c>
      <c r="C16" s="106" t="s">
        <v>190</v>
      </c>
      <c r="D16" s="107" t="s">
        <v>191</v>
      </c>
      <c r="E16" s="107" t="s">
        <v>192</v>
      </c>
      <c r="F16" s="108" t="s">
        <v>193</v>
      </c>
      <c r="G16" s="108" t="s">
        <v>194</v>
      </c>
    </row>
    <row r="17" customFormat="false" ht="13.8" hidden="false" customHeight="false" outlineLevel="0" collapsed="false">
      <c r="A17" s="119"/>
      <c r="B17" s="109" t="n">
        <v>1</v>
      </c>
      <c r="C17" s="127" t="s">
        <v>240</v>
      </c>
      <c r="D17" s="128" t="s">
        <v>196</v>
      </c>
      <c r="E17" s="128" t="n">
        <v>48</v>
      </c>
      <c r="F17" s="112" t="n">
        <v>18.56</v>
      </c>
      <c r="G17" s="120" t="n">
        <f aca="false">F17*E17</f>
        <v>890.88</v>
      </c>
    </row>
    <row r="18" customFormat="false" ht="13.8" hidden="false" customHeight="false" outlineLevel="0" collapsed="false">
      <c r="A18" s="119"/>
      <c r="B18" s="116" t="s">
        <v>238</v>
      </c>
      <c r="C18" s="116"/>
      <c r="D18" s="116"/>
      <c r="E18" s="116"/>
      <c r="F18" s="116"/>
      <c r="G18" s="113" t="n">
        <f aca="false">SUM(G17:G17)/12</f>
        <v>74.24</v>
      </c>
    </row>
    <row r="19" customFormat="false" ht="13.8" hidden="false" customHeight="false" outlineLevel="0" collapsed="false">
      <c r="A19" s="119"/>
      <c r="B19" s="116" t="s">
        <v>239</v>
      </c>
      <c r="C19" s="116"/>
      <c r="D19" s="116"/>
      <c r="E19" s="116"/>
      <c r="F19" s="116"/>
      <c r="G19" s="109" t="n">
        <f aca="false">Dados!G21+Dados!G22</f>
        <v>8</v>
      </c>
    </row>
    <row r="20" customFormat="false" ht="13.8" hidden="false" customHeight="false" outlineLevel="0" collapsed="false">
      <c r="A20" s="119"/>
      <c r="B20" s="117" t="s">
        <v>204</v>
      </c>
      <c r="C20" s="117"/>
      <c r="D20" s="117"/>
      <c r="E20" s="117"/>
      <c r="F20" s="117"/>
      <c r="G20" s="118" t="n">
        <f aca="false">G18/(G19*2)</f>
        <v>4.64</v>
      </c>
    </row>
  </sheetData>
  <mergeCells count="11">
    <mergeCell ref="B2:G2"/>
    <mergeCell ref="B3:G3"/>
    <mergeCell ref="B4:G4"/>
    <mergeCell ref="B10:F10"/>
    <mergeCell ref="B11:F11"/>
    <mergeCell ref="B12:F12"/>
    <mergeCell ref="B14:G14"/>
    <mergeCell ref="B15:G15"/>
    <mergeCell ref="B18:F18"/>
    <mergeCell ref="B19:F19"/>
    <mergeCell ref="B20:F2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56" zoomScalePageLayoutView="100" workbookViewId="0">
      <selection pane="topLeft" activeCell="D22" activeCellId="0" sqref="D22"/>
    </sheetView>
  </sheetViews>
  <sheetFormatPr defaultRowHeight="12.8" zeroHeight="false" outlineLevelRow="0" outlineLevelCol="0"/>
  <cols>
    <col collapsed="false" customWidth="true" hidden="false" outlineLevel="0" max="1" min="1" style="20" width="7.36"/>
    <col collapsed="false" customWidth="true" hidden="false" outlineLevel="0" max="2" min="2" style="20" width="64.32"/>
    <col collapsed="false" customWidth="true" hidden="false" outlineLevel="0" max="3" min="3" style="20" width="9.2"/>
    <col collapsed="false" customWidth="true" hidden="false" outlineLevel="0" max="4" min="4" style="20" width="11.24"/>
    <col collapsed="false" customWidth="true" hidden="false" outlineLevel="0" max="5" min="5" style="20" width="12.16"/>
    <col collapsed="false" customWidth="true" hidden="false" outlineLevel="0" max="7" min="6" style="20" width="14.67"/>
    <col collapsed="false" customWidth="true" hidden="false" outlineLevel="0" max="8" min="8" style="20" width="11.99"/>
    <col collapsed="false" customWidth="true" hidden="false" outlineLevel="0" max="10" min="9" style="20" width="14.67"/>
    <col collapsed="false" customWidth="false" hidden="false" outlineLevel="0" max="1025" min="11" style="20" width="11.52"/>
  </cols>
  <sheetData>
    <row r="1" customFormat="false" ht="13.8" hidden="false" customHeight="false" outlineLevel="0" collapsed="false">
      <c r="A1" s="102" t="s">
        <v>241</v>
      </c>
      <c r="B1" s="102"/>
      <c r="C1" s="102"/>
      <c r="D1" s="102"/>
      <c r="E1" s="102"/>
      <c r="F1" s="102"/>
      <c r="G1" s="102"/>
      <c r="H1" s="102"/>
      <c r="I1" s="102"/>
      <c r="J1" s="102"/>
    </row>
    <row r="2" customFormat="false" ht="13.8" hidden="false" customHeight="false" outlineLevel="0" collapsed="false">
      <c r="A2" s="103"/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3.8" hidden="false" customHeight="false" outlineLevel="0" collapsed="false">
      <c r="A3" s="104" t="s">
        <v>205</v>
      </c>
      <c r="B3" s="104"/>
      <c r="C3" s="104"/>
      <c r="D3" s="104"/>
      <c r="E3" s="104"/>
      <c r="F3" s="104"/>
      <c r="G3" s="104"/>
      <c r="H3" s="104"/>
      <c r="I3" s="104"/>
      <c r="J3" s="104"/>
    </row>
    <row r="4" customFormat="false" ht="24" hidden="false" customHeight="true" outlineLevel="0" collapsed="false">
      <c r="A4" s="105" t="s">
        <v>189</v>
      </c>
      <c r="B4" s="106" t="s">
        <v>190</v>
      </c>
      <c r="C4" s="107" t="s">
        <v>191</v>
      </c>
      <c r="D4" s="107" t="s">
        <v>192</v>
      </c>
      <c r="E4" s="108" t="s">
        <v>193</v>
      </c>
      <c r="F4" s="108" t="s">
        <v>242</v>
      </c>
      <c r="G4" s="108" t="s">
        <v>243</v>
      </c>
      <c r="H4" s="108"/>
      <c r="I4" s="108" t="s">
        <v>244</v>
      </c>
      <c r="J4" s="108" t="s">
        <v>194</v>
      </c>
    </row>
    <row r="5" customFormat="false" ht="13.8" hidden="false" customHeight="false" outlineLevel="0" collapsed="false">
      <c r="A5" s="128" t="n">
        <v>1</v>
      </c>
      <c r="B5" s="127" t="s">
        <v>245</v>
      </c>
      <c r="C5" s="128" t="s">
        <v>196</v>
      </c>
      <c r="D5" s="128" t="n">
        <v>1</v>
      </c>
      <c r="E5" s="129" t="n">
        <v>1005.2</v>
      </c>
      <c r="F5" s="129" t="n">
        <f aca="false">E5*D5</f>
        <v>1005.2</v>
      </c>
      <c r="G5" s="130" t="n">
        <v>0.2</v>
      </c>
      <c r="H5" s="129" t="n">
        <f aca="false">G5*F5</f>
        <v>201.04</v>
      </c>
      <c r="I5" s="131" t="n">
        <v>30</v>
      </c>
      <c r="J5" s="129" t="n">
        <f aca="false">(F5-H5)/I5</f>
        <v>26.8053333333333</v>
      </c>
    </row>
    <row r="6" customFormat="false" ht="13.8" hidden="false" customHeight="false" outlineLevel="0" collapsed="false">
      <c r="A6" s="128" t="n">
        <v>2</v>
      </c>
      <c r="B6" s="127" t="s">
        <v>246</v>
      </c>
      <c r="C6" s="128" t="s">
        <v>196</v>
      </c>
      <c r="D6" s="128" t="n">
        <v>2</v>
      </c>
      <c r="E6" s="129" t="n">
        <v>684.32</v>
      </c>
      <c r="F6" s="129" t="n">
        <f aca="false">E6*D6</f>
        <v>1368.64</v>
      </c>
      <c r="G6" s="130" t="n">
        <v>0.2</v>
      </c>
      <c r="H6" s="129" t="n">
        <f aca="false">G6*F6</f>
        <v>273.728</v>
      </c>
      <c r="I6" s="131" t="n">
        <v>30</v>
      </c>
      <c r="J6" s="129" t="n">
        <f aca="false">(F6-H6)/I6</f>
        <v>36.4970666666667</v>
      </c>
    </row>
    <row r="7" customFormat="false" ht="13.8" hidden="false" customHeight="false" outlineLevel="0" collapsed="false">
      <c r="A7" s="128" t="n">
        <v>3</v>
      </c>
      <c r="B7" s="127" t="s">
        <v>247</v>
      </c>
      <c r="C7" s="128" t="s">
        <v>196</v>
      </c>
      <c r="D7" s="128" t="n">
        <v>2</v>
      </c>
      <c r="E7" s="129" t="n">
        <v>61.17</v>
      </c>
      <c r="F7" s="129" t="n">
        <f aca="false">E7*D7</f>
        <v>122.34</v>
      </c>
      <c r="G7" s="130" t="n">
        <v>0.2</v>
      </c>
      <c r="H7" s="129" t="n">
        <f aca="false">G7*F7</f>
        <v>24.468</v>
      </c>
      <c r="I7" s="131" t="n">
        <v>30</v>
      </c>
      <c r="J7" s="129" t="n">
        <f aca="false">(F7-H7)/I7</f>
        <v>3.2624</v>
      </c>
    </row>
    <row r="8" customFormat="false" ht="13.8" hidden="false" customHeight="false" outlineLevel="0" collapsed="false">
      <c r="A8" s="128" t="n">
        <v>4</v>
      </c>
      <c r="B8" s="127" t="s">
        <v>248</v>
      </c>
      <c r="C8" s="128" t="s">
        <v>196</v>
      </c>
      <c r="D8" s="128" t="n">
        <v>2</v>
      </c>
      <c r="E8" s="129" t="n">
        <v>31.59</v>
      </c>
      <c r="F8" s="129" t="n">
        <f aca="false">E8*D8</f>
        <v>63.18</v>
      </c>
      <c r="G8" s="130" t="n">
        <v>0.2</v>
      </c>
      <c r="H8" s="129" t="n">
        <f aca="false">G8*F8</f>
        <v>12.636</v>
      </c>
      <c r="I8" s="131" t="n">
        <v>30</v>
      </c>
      <c r="J8" s="129" t="n">
        <f aca="false">(F8-H8)/I8</f>
        <v>1.6848</v>
      </c>
    </row>
    <row r="9" customFormat="false" ht="13.8" hidden="false" customHeight="false" outlineLevel="0" collapsed="false">
      <c r="A9" s="128" t="n">
        <v>5</v>
      </c>
      <c r="B9" s="127" t="s">
        <v>249</v>
      </c>
      <c r="C9" s="128" t="s">
        <v>196</v>
      </c>
      <c r="D9" s="128" t="n">
        <v>2</v>
      </c>
      <c r="E9" s="129" t="n">
        <v>26.96</v>
      </c>
      <c r="F9" s="129" t="n">
        <f aca="false">E9*D9</f>
        <v>53.92</v>
      </c>
      <c r="G9" s="130" t="n">
        <v>0.2</v>
      </c>
      <c r="H9" s="129" t="n">
        <f aca="false">G9*F9</f>
        <v>10.784</v>
      </c>
      <c r="I9" s="131" t="n">
        <v>30</v>
      </c>
      <c r="J9" s="129" t="n">
        <f aca="false">(F9-H9)/I9</f>
        <v>1.43786666666667</v>
      </c>
    </row>
    <row r="10" customFormat="false" ht="13.8" hidden="false" customHeight="false" outlineLevel="0" collapsed="false">
      <c r="A10" s="128" t="n">
        <v>6</v>
      </c>
      <c r="B10" s="127" t="s">
        <v>250</v>
      </c>
      <c r="C10" s="128" t="s">
        <v>196</v>
      </c>
      <c r="D10" s="128" t="n">
        <v>2</v>
      </c>
      <c r="E10" s="129" t="n">
        <v>20.15</v>
      </c>
      <c r="F10" s="129" t="n">
        <f aca="false">E10*D10</f>
        <v>40.3</v>
      </c>
      <c r="G10" s="130" t="n">
        <v>0.2</v>
      </c>
      <c r="H10" s="129" t="n">
        <f aca="false">G10*F10</f>
        <v>8.06</v>
      </c>
      <c r="I10" s="131" t="n">
        <v>30</v>
      </c>
      <c r="J10" s="129" t="n">
        <f aca="false">(F10-H10)/I10</f>
        <v>1.07466666666667</v>
      </c>
    </row>
    <row r="11" customFormat="false" ht="13.8" hidden="false" customHeight="false" outlineLevel="0" collapsed="false">
      <c r="A11" s="128" t="n">
        <v>7</v>
      </c>
      <c r="B11" s="127" t="s">
        <v>251</v>
      </c>
      <c r="C11" s="128" t="s">
        <v>196</v>
      </c>
      <c r="D11" s="128" t="n">
        <v>2</v>
      </c>
      <c r="E11" s="129" t="n">
        <v>453.37</v>
      </c>
      <c r="F11" s="129" t="n">
        <f aca="false">E11*D11</f>
        <v>906.74</v>
      </c>
      <c r="G11" s="130" t="n">
        <v>0.2</v>
      </c>
      <c r="H11" s="129" t="n">
        <f aca="false">G11*F11</f>
        <v>181.348</v>
      </c>
      <c r="I11" s="131" t="n">
        <v>30</v>
      </c>
      <c r="J11" s="129" t="n">
        <f aca="false">(F11-H11)/I11</f>
        <v>24.1797333333333</v>
      </c>
    </row>
    <row r="12" customFormat="false" ht="13.8" hidden="false" customHeight="false" outlineLevel="0" collapsed="false">
      <c r="A12" s="128" t="n">
        <v>8</v>
      </c>
      <c r="B12" s="127" t="s">
        <v>252</v>
      </c>
      <c r="C12" s="128" t="s">
        <v>196</v>
      </c>
      <c r="D12" s="128" t="n">
        <v>4</v>
      </c>
      <c r="E12" s="129" t="n">
        <v>28.62</v>
      </c>
      <c r="F12" s="129" t="n">
        <f aca="false">E12*D12</f>
        <v>114.48</v>
      </c>
      <c r="G12" s="130" t="n">
        <v>0.2</v>
      </c>
      <c r="H12" s="129" t="n">
        <f aca="false">G12*F12</f>
        <v>22.896</v>
      </c>
      <c r="I12" s="131" t="n">
        <v>30</v>
      </c>
      <c r="J12" s="129" t="n">
        <f aca="false">(F12-H12)/I12</f>
        <v>3.0528</v>
      </c>
    </row>
    <row r="13" customFormat="false" ht="13.8" hidden="false" customHeight="false" outlineLevel="0" collapsed="false">
      <c r="A13" s="117" t="s">
        <v>203</v>
      </c>
      <c r="B13" s="117"/>
      <c r="C13" s="117"/>
      <c r="D13" s="117"/>
      <c r="E13" s="117"/>
      <c r="F13" s="117"/>
      <c r="G13" s="117"/>
      <c r="H13" s="117"/>
      <c r="I13" s="117"/>
      <c r="J13" s="129" t="n">
        <f aca="false">SUM(J5:J12)</f>
        <v>97.9946666666667</v>
      </c>
    </row>
    <row r="14" customFormat="false" ht="13.8" hidden="false" customHeight="false" outlineLevel="0" collapsed="false">
      <c r="A14" s="116" t="s">
        <v>239</v>
      </c>
      <c r="B14" s="116"/>
      <c r="C14" s="116"/>
      <c r="D14" s="116"/>
      <c r="E14" s="116"/>
      <c r="F14" s="116"/>
      <c r="G14" s="116"/>
      <c r="H14" s="116"/>
      <c r="I14" s="117"/>
      <c r="J14" s="132" t="n">
        <f aca="false">Dados!G20</f>
        <v>2</v>
      </c>
    </row>
    <row r="15" customFormat="false" ht="13.8" hidden="false" customHeight="false" outlineLevel="0" collapsed="false">
      <c r="A15" s="117" t="s">
        <v>204</v>
      </c>
      <c r="B15" s="117"/>
      <c r="C15" s="117"/>
      <c r="D15" s="117"/>
      <c r="E15" s="117"/>
      <c r="F15" s="117"/>
      <c r="G15" s="117"/>
      <c r="H15" s="117"/>
      <c r="I15" s="117"/>
      <c r="J15" s="133" t="n">
        <f aca="false">(J13/Dados!G14)/J14</f>
        <v>4.08311111111111</v>
      </c>
    </row>
    <row r="16" customFormat="false" ht="13.8" hidden="false" customHeight="false" outlineLevel="0" collapsed="false">
      <c r="A16" s="134"/>
      <c r="B16" s="134"/>
      <c r="C16" s="134"/>
      <c r="D16" s="134"/>
      <c r="E16" s="134"/>
      <c r="F16" s="134"/>
      <c r="G16" s="134"/>
      <c r="H16" s="134"/>
      <c r="I16" s="134"/>
      <c r="J16" s="134"/>
    </row>
    <row r="17" customFormat="false" ht="13.8" hidden="false" customHeight="false" outlineLevel="0" collapsed="false">
      <c r="A17" s="119"/>
      <c r="B17" s="119"/>
      <c r="C17" s="119"/>
      <c r="D17" s="119"/>
      <c r="E17" s="119"/>
      <c r="F17" s="119"/>
      <c r="G17" s="119"/>
      <c r="H17" s="119"/>
      <c r="I17" s="119"/>
      <c r="J17" s="119"/>
    </row>
    <row r="18" customFormat="false" ht="13.8" hidden="false" customHeight="false" outlineLevel="0" collapsed="false">
      <c r="A18" s="102"/>
      <c r="B18" s="104" t="s">
        <v>206</v>
      </c>
      <c r="C18" s="104"/>
      <c r="D18" s="104"/>
      <c r="E18" s="104"/>
      <c r="F18" s="104"/>
      <c r="G18" s="104"/>
      <c r="H18" s="104"/>
      <c r="I18" s="104"/>
      <c r="J18" s="104"/>
    </row>
    <row r="19" customFormat="false" ht="33.7" hidden="false" customHeight="true" outlineLevel="0" collapsed="false">
      <c r="A19" s="105" t="s">
        <v>189</v>
      </c>
      <c r="B19" s="106" t="s">
        <v>190</v>
      </c>
      <c r="C19" s="107" t="s">
        <v>191</v>
      </c>
      <c r="D19" s="107" t="s">
        <v>253</v>
      </c>
      <c r="E19" s="108" t="s">
        <v>193</v>
      </c>
      <c r="F19" s="108" t="s">
        <v>242</v>
      </c>
      <c r="G19" s="108" t="s">
        <v>243</v>
      </c>
      <c r="H19" s="108"/>
      <c r="I19" s="108" t="s">
        <v>244</v>
      </c>
      <c r="J19" s="108" t="s">
        <v>194</v>
      </c>
    </row>
    <row r="20" customFormat="false" ht="13.8" hidden="false" customHeight="false" outlineLevel="0" collapsed="false">
      <c r="A20" s="128" t="n">
        <v>1</v>
      </c>
      <c r="B20" s="127" t="s">
        <v>254</v>
      </c>
      <c r="C20" s="128" t="s">
        <v>196</v>
      </c>
      <c r="D20" s="128" t="n">
        <f aca="false">(Dados!G21+Dados!G22)</f>
        <v>8</v>
      </c>
      <c r="E20" s="129" t="n">
        <v>29.49</v>
      </c>
      <c r="F20" s="129" t="n">
        <f aca="false">E20*D20</f>
        <v>235.92</v>
      </c>
      <c r="G20" s="130" t="n">
        <v>0.2</v>
      </c>
      <c r="H20" s="129" t="n">
        <f aca="false">F20*G20</f>
        <v>47.184</v>
      </c>
      <c r="I20" s="131" t="n">
        <v>30</v>
      </c>
      <c r="J20" s="129" t="n">
        <f aca="false">(F20-H20)/I20</f>
        <v>6.2912</v>
      </c>
    </row>
    <row r="21" customFormat="false" ht="13.8" hidden="false" customHeight="false" outlineLevel="0" collapsed="false">
      <c r="A21" s="128" t="n">
        <v>2</v>
      </c>
      <c r="B21" s="127" t="s">
        <v>255</v>
      </c>
      <c r="C21" s="128" t="s">
        <v>196</v>
      </c>
      <c r="D21" s="128" t="n">
        <f aca="false">(Dados!G21+Dados!G22)</f>
        <v>8</v>
      </c>
      <c r="E21" s="129" t="n">
        <v>233.4</v>
      </c>
      <c r="F21" s="129" t="n">
        <f aca="false">E21*D21</f>
        <v>1867.2</v>
      </c>
      <c r="G21" s="130" t="n">
        <v>0.2</v>
      </c>
      <c r="H21" s="129" t="n">
        <f aca="false">F21*G21</f>
        <v>373.44</v>
      </c>
      <c r="I21" s="131" t="n">
        <v>30</v>
      </c>
      <c r="J21" s="129" t="n">
        <f aca="false">(F21-H21)/I21</f>
        <v>49.792</v>
      </c>
    </row>
    <row r="22" customFormat="false" ht="13.8" hidden="false" customHeight="false" outlineLevel="0" collapsed="false">
      <c r="A22" s="128" t="n">
        <v>3</v>
      </c>
      <c r="B22" s="127" t="s">
        <v>256</v>
      </c>
      <c r="C22" s="128" t="s">
        <v>196</v>
      </c>
      <c r="D22" s="128" t="n">
        <f aca="false">Dados!G21+Dados!G22</f>
        <v>8</v>
      </c>
      <c r="E22" s="129" t="n">
        <v>637.67</v>
      </c>
      <c r="F22" s="129" t="n">
        <f aca="false">E22*D22</f>
        <v>5101.36</v>
      </c>
      <c r="G22" s="130" t="n">
        <v>0.2</v>
      </c>
      <c r="H22" s="129" t="n">
        <f aca="false">F22*G22</f>
        <v>1020.272</v>
      </c>
      <c r="I22" s="131" t="n">
        <v>30</v>
      </c>
      <c r="J22" s="129" t="n">
        <f aca="false">(F22-H22)/I22</f>
        <v>136.036266666667</v>
      </c>
    </row>
    <row r="23" customFormat="false" ht="13.8" hidden="false" customHeight="false" outlineLevel="0" collapsed="false">
      <c r="A23" s="117" t="s">
        <v>242</v>
      </c>
      <c r="B23" s="117"/>
      <c r="C23" s="117"/>
      <c r="D23" s="117"/>
      <c r="E23" s="117"/>
      <c r="F23" s="117"/>
      <c r="G23" s="117"/>
      <c r="H23" s="117"/>
      <c r="I23" s="117"/>
      <c r="J23" s="129" t="n">
        <f aca="false">SUM(J20:J22)</f>
        <v>192.119466666667</v>
      </c>
    </row>
    <row r="24" customFormat="false" ht="13.8" hidden="false" customHeight="false" outlineLevel="0" collapsed="false">
      <c r="A24" s="116" t="s">
        <v>239</v>
      </c>
      <c r="B24" s="116"/>
      <c r="C24" s="116"/>
      <c r="D24" s="116"/>
      <c r="E24" s="116"/>
      <c r="F24" s="116"/>
      <c r="G24" s="116"/>
      <c r="H24" s="116"/>
      <c r="I24" s="117"/>
      <c r="J24" s="132" t="n">
        <f aca="false">(Dados!G21+Dados!G22)</f>
        <v>8</v>
      </c>
    </row>
    <row r="25" customFormat="false" ht="13.8" hidden="false" customHeight="false" outlineLevel="0" collapsed="false">
      <c r="A25" s="116" t="s">
        <v>257</v>
      </c>
      <c r="B25" s="116"/>
      <c r="C25" s="116"/>
      <c r="D25" s="116"/>
      <c r="E25" s="116"/>
      <c r="F25" s="116"/>
      <c r="G25" s="116"/>
      <c r="H25" s="116"/>
      <c r="I25" s="117"/>
      <c r="J25" s="132" t="n">
        <v>2</v>
      </c>
    </row>
    <row r="26" customFormat="false" ht="13.8" hidden="false" customHeight="false" outlineLevel="0" collapsed="false">
      <c r="A26" s="135" t="s">
        <v>258</v>
      </c>
      <c r="B26" s="135"/>
      <c r="C26" s="135"/>
      <c r="D26" s="135"/>
      <c r="E26" s="135"/>
      <c r="F26" s="135"/>
      <c r="G26" s="135"/>
      <c r="H26" s="135"/>
      <c r="I26" s="135"/>
      <c r="J26" s="136" t="n">
        <f aca="false">J23/Dados!G14/(J24*J25)</f>
        <v>1.00062222222222</v>
      </c>
    </row>
  </sheetData>
  <mergeCells count="14">
    <mergeCell ref="A1:J1"/>
    <mergeCell ref="A2:J2"/>
    <mergeCell ref="A3:J3"/>
    <mergeCell ref="G4:H4"/>
    <mergeCell ref="A13:E13"/>
    <mergeCell ref="A14:E14"/>
    <mergeCell ref="A15:E15"/>
    <mergeCell ref="A16:J16"/>
    <mergeCell ref="B18:J18"/>
    <mergeCell ref="G19:H19"/>
    <mergeCell ref="A23:E23"/>
    <mergeCell ref="A24:E24"/>
    <mergeCell ref="A25:E25"/>
    <mergeCell ref="A26:E26"/>
  </mergeCells>
  <printOptions headings="false" gridLines="false" gridLinesSet="true" horizontalCentered="false" verticalCentered="false"/>
  <pageMargins left="0.321527777777778" right="0.7875" top="1.05277777777778" bottom="1.05277777777778" header="0.7875" footer="0.7875"/>
  <pageSetup paperSize="9" scale="5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2077</TotalTime>
  <Application>LibreOffice/6.0.7.3$Linux_X86_64 LibreOffice_project/dc89aa7a9eabfd848af146d5086077aeed2ae4a5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2010-12-08T17:56:29Z</dcterms:created>
  <dc:creator>Patrick</dc:creator>
  <dc:description/>
  <dc:language>pt-BR</dc:language>
  <cp:lastModifiedBy/>
  <cp:lastPrinted>2018-03-28T16:20:09Z</cp:lastPrinted>
  <dcterms:modified xsi:type="dcterms:W3CDTF">2019-10-01T09:50:10Z</dcterms:modified>
  <cp:revision>303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